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5360" windowHeight="6420" tabRatio="586" activeTab="1"/>
  </bookViews>
  <sheets>
    <sheet name="форма 1" sheetId="1" r:id="rId1"/>
    <sheet name="Форма 2" sheetId="4" r:id="rId2"/>
  </sheets>
  <definedNames>
    <definedName name="_xlnm._FilterDatabase" localSheetId="0" hidden="1">'форма 1'!$A$8:$S$53</definedName>
    <definedName name="_xlnm._FilterDatabase" localSheetId="1" hidden="1">'Форма 2'!$A$5:$K$180</definedName>
    <definedName name="Z_071E1129_87BE_443E_A630_49B570385858_.wvu.FilterData" localSheetId="0" hidden="1">'форма 1'!$A$8:$S$9</definedName>
    <definedName name="Z_2153793A_FA21_4C81_8AE5_3C176D0CDF9C_.wvu.FilterData" localSheetId="0" hidden="1">'форма 1'!$A$8:$S$9</definedName>
    <definedName name="Z_3511D8A4_2A8D_4563_8DF1_C381EEDBF68F_.wvu.FilterData" localSheetId="0" hidden="1">'форма 1'!$A$8:$S$9</definedName>
    <definedName name="Z_3511D8A4_2A8D_4563_8DF1_C381EEDBF68F_.wvu.FilterData" localSheetId="1" hidden="1">'Форма 2'!$A$5:$K$5</definedName>
    <definedName name="Z_3511D8A4_2A8D_4563_8DF1_C381EEDBF68F_.wvu.PrintArea" localSheetId="0" hidden="1">'форма 1'!$A$2:$S$9</definedName>
    <definedName name="Z_3511D8A4_2A8D_4563_8DF1_C381EEDBF68F_.wvu.PrintArea" localSheetId="1" hidden="1">'Форма 2'!$A$2:$K$189</definedName>
    <definedName name="Z_3511D8A4_2A8D_4563_8DF1_C381EEDBF68F_.wvu.PrintTitles" localSheetId="1" hidden="1">'Форма 2'!$5:$5</definedName>
    <definedName name="Z_4A739215_D16A_4EE7_A2DF_5890D7372CF6_.wvu.FilterData" localSheetId="0" hidden="1">'форма 1'!$A$8:$S$9</definedName>
    <definedName name="Z_4A739215_D16A_4EE7_A2DF_5890D7372CF6_.wvu.FilterData" localSheetId="1" hidden="1">'Форма 2'!$A$5:$K$6</definedName>
    <definedName name="Z_4BBD3242_ADF1_41E0_9651_34A11444B844_.wvu.FilterData" localSheetId="0" hidden="1">'форма 1'!$A$8:$S$9</definedName>
    <definedName name="Z_4BBD3242_ADF1_41E0_9651_34A11444B844_.wvu.FilterData" localSheetId="1" hidden="1">'Форма 2'!$A$5:$K$6</definedName>
    <definedName name="Z_513E810E_3E48_4817_A3BD_1F59CB59F4CA_.wvu.FilterData" localSheetId="1" hidden="1">'Форма 2'!$A$5:$K$6</definedName>
    <definedName name="Z_5F42B46C_E737_4DDF_A6B3_D01B97AD9617_.wvu.FilterData" localSheetId="0" hidden="1">'форма 1'!$A$8:$S$9</definedName>
    <definedName name="Z_5F42B46C_E737_4DDF_A6B3_D01B97AD9617_.wvu.FilterData" localSheetId="1" hidden="1">'Форма 2'!$A$5:$K$6</definedName>
    <definedName name="Z_6B855072_AFE4_4509_A179_E4F6A2796966_.wvu.FilterData" localSheetId="1" hidden="1">'Форма 2'!$A$5:$K$6</definedName>
    <definedName name="Z_7B1C413C_CFA4_46EC_80EB_4C481039F7CE_.wvu.FilterData" localSheetId="1" hidden="1">'Форма 2'!$A$5:$K$6</definedName>
    <definedName name="Z_7D125628_27D8_424A_B039_7F6935A9E22F_.wvu.FilterData" localSheetId="0" hidden="1">'форма 1'!$A$8:$S$9</definedName>
    <definedName name="Z_7D125628_27D8_424A_B039_7F6935A9E22F_.wvu.FilterData" localSheetId="1" hidden="1">'Форма 2'!$A$5:$K$6</definedName>
    <definedName name="Z_894246BE_CC98_45CA_9015_348B720E2996_.wvu.FilterData" localSheetId="0" hidden="1">'форма 1'!$A$8:$S$9</definedName>
    <definedName name="Z_9A08A02A_49DA_4249_BF63_47BD16E54DDA_.wvu.FilterData" localSheetId="1" hidden="1">'Форма 2'!$A$5:$K$6</definedName>
    <definedName name="Z_B69FB2D8_BCA5_4AC2_B0C9_F7BAD98AD860_.wvu.FilterData" localSheetId="0" hidden="1">'форма 1'!$A$8:$S$9</definedName>
    <definedName name="Z_B69FB2D8_BCA5_4AC2_B0C9_F7BAD98AD860_.wvu.FilterData" localSheetId="1" hidden="1">'Форма 2'!$A$5:$K$6</definedName>
    <definedName name="Z_BA9FD3DD_4F2C_454E_A268_F4AB041FD291_.wvu.FilterData" localSheetId="1" hidden="1">'Форма 2'!$A$5:$K$6</definedName>
    <definedName name="Z_C9A56928_F6D8_45BD_A377_A02C7A3A4EC3_.wvu.FilterData" localSheetId="0" hidden="1">'форма 1'!$A$8:$S$9</definedName>
    <definedName name="Z_C9A56928_F6D8_45BD_A377_A02C7A3A4EC3_.wvu.FilterData" localSheetId="1" hidden="1">'Форма 2'!$A$5:$K$6</definedName>
    <definedName name="Z_CC3EEC02_30D2_4905_AE21_71EA71520321_.wvu.FilterData" localSheetId="0" hidden="1">'форма 1'!$A$8:$S$9</definedName>
    <definedName name="Z_CC3EEC02_30D2_4905_AE21_71EA71520321_.wvu.FilterData" localSheetId="1" hidden="1">'Форма 2'!$A$5:$K$6</definedName>
    <definedName name="Z_CC3EEC02_30D2_4905_AE21_71EA71520321_.wvu.PrintArea" localSheetId="1" hidden="1">'Форма 2'!$A$2:$K$189</definedName>
    <definedName name="Z_CC3EEC02_30D2_4905_AE21_71EA71520321_.wvu.PrintTitles" localSheetId="1" hidden="1">'Форма 2'!$5:$5</definedName>
    <definedName name="Z_D58D1C63_6768_4CFA_8358_86EE19640CB2_.wvu.FilterData" localSheetId="1" hidden="1">'Форма 2'!$A$5:$K$6</definedName>
    <definedName name="Z_E0198BA7_4C17_4517_AE42_FD3FC28E3706_.wvu.FilterData" localSheetId="0" hidden="1">'форма 1'!$A$8:$S$9</definedName>
    <definedName name="Z_E0198BA7_4C17_4517_AE42_FD3FC28E3706_.wvu.FilterData" localSheetId="1" hidden="1">'Форма 2'!$A$5:$K$6</definedName>
    <definedName name="Z_E4B115D4_BEE0_43CB_9EA7_2190A66EBA3F_.wvu.FilterData" localSheetId="0" hidden="1">'форма 1'!$A$8:$S$9</definedName>
    <definedName name="Z_E4B115D4_BEE0_43CB_9EA7_2190A66EBA3F_.wvu.FilterData" localSheetId="1" hidden="1">'Форма 2'!$A$5:$K$6</definedName>
    <definedName name="Z_F3AFC384_A20B_4171_8881_A61C399C6A68_.wvu.FilterData" localSheetId="1" hidden="1">'Форма 2'!$A$5:$K$6</definedName>
    <definedName name="_xlnm.Print_Titles" localSheetId="0">'форма 1'!$8:$8</definedName>
    <definedName name="_xlnm.Print_Titles" localSheetId="1">'Форма 2'!$5:$5</definedName>
    <definedName name="_xlnm.Print_Area" localSheetId="0">'форма 1'!$A$2:$S$36</definedName>
    <definedName name="_xlnm.Print_Area" localSheetId="1">'Форма 2'!$A$1:$K$189</definedName>
  </definedNames>
  <calcPr calcId="144525" fullPrecision="0"/>
  <customWorkbookViews>
    <customWorkbookView name="Алыкова Анна Фаридовна - Личное представление" guid="{114D0552-1D3C-4C9A-AF28-55BD1176DD7C}" mergeInterval="0" personalView="1" maximized="1" xWindow="-8" yWindow="-8" windowWidth="1936" windowHeight="1056" activeSheetId="1"/>
    <customWorkbookView name="Сыроватская Татьяна Иннокентьевна - Личное представление" guid="{CC3EEC02-30D2-4905-AE21-71EA71520321}" mergeInterval="0" personalView="1" maximized="1" xWindow="-8" yWindow="-8" windowWidth="1936" windowHeight="1056" activeSheetId="4"/>
    <customWorkbookView name="Светлана Сергеевна Карпова - Личное представление" guid="{3511D8A4-2A8D-4563-8DF1-C381EEDBF68F}" mergeInterval="0" personalView="1" maximized="1" xWindow="-8" yWindow="-8" windowWidth="1936" windowHeight="1056" activeSheetId="4"/>
  </customWorkbookViews>
</workbook>
</file>

<file path=xl/calcChain.xml><?xml version="1.0" encoding="utf-8"?>
<calcChain xmlns="http://schemas.openxmlformats.org/spreadsheetml/2006/main">
  <c r="J76" i="4" l="1"/>
  <c r="J31" i="4"/>
  <c r="M36" i="1" l="1"/>
  <c r="L36" i="1"/>
  <c r="K36" i="1"/>
  <c r="D91" i="4" l="1"/>
  <c r="I49" i="4" l="1"/>
  <c r="K137" i="4" l="1"/>
  <c r="K130" i="4"/>
  <c r="K123" i="4"/>
  <c r="I135" i="4"/>
  <c r="I142" i="4"/>
  <c r="I143" i="4"/>
  <c r="I136" i="4"/>
  <c r="I129" i="4"/>
  <c r="I128" i="4"/>
  <c r="K64" i="4"/>
  <c r="I64" i="4" s="1"/>
  <c r="K60" i="4"/>
  <c r="I60" i="4" s="1"/>
  <c r="K56" i="4"/>
  <c r="I56" i="4" s="1"/>
  <c r="J56" i="4" s="1"/>
  <c r="J60" i="4" l="1"/>
  <c r="J136" i="4"/>
  <c r="J142" i="4"/>
  <c r="J128" i="4"/>
  <c r="J143" i="4"/>
  <c r="J135" i="4"/>
  <c r="J129" i="4"/>
  <c r="J64" i="4"/>
  <c r="G36" i="1"/>
  <c r="I36" i="1"/>
  <c r="O36" i="1" l="1"/>
  <c r="H36" i="1"/>
  <c r="A38" i="1"/>
  <c r="K173" i="4"/>
  <c r="I173" i="4" s="1"/>
  <c r="K172" i="4"/>
  <c r="I172" i="4" s="1"/>
  <c r="J172" i="4" s="1"/>
  <c r="A94" i="4"/>
  <c r="K109" i="4"/>
  <c r="I109" i="4" s="1"/>
  <c r="K108" i="4"/>
  <c r="I108" i="4" s="1"/>
  <c r="K107" i="4"/>
  <c r="I107" i="4" s="1"/>
  <c r="J37" i="4"/>
  <c r="K93" i="4"/>
  <c r="I36" i="4"/>
  <c r="I93" i="4" l="1"/>
  <c r="I92" i="4" s="1"/>
  <c r="J37" i="1" s="1"/>
  <c r="K171" i="4"/>
  <c r="Q52" i="1" s="1"/>
  <c r="J107" i="4"/>
  <c r="J109" i="4"/>
  <c r="J108" i="4"/>
  <c r="J173" i="4"/>
  <c r="J171" i="4" s="1"/>
  <c r="I171" i="4"/>
  <c r="K106" i="4"/>
  <c r="Q40" i="1" s="1"/>
  <c r="J93" i="4"/>
  <c r="J92" i="4" s="1"/>
  <c r="I106" i="4"/>
  <c r="K92" i="4"/>
  <c r="Q37" i="1" s="1"/>
  <c r="J106" i="4" l="1"/>
  <c r="N37" i="1"/>
  <c r="P37" i="1"/>
  <c r="J40" i="1"/>
  <c r="N40" i="1" s="1"/>
  <c r="J52" i="1"/>
  <c r="P40" i="1" l="1"/>
  <c r="N52" i="1"/>
  <c r="P52" i="1"/>
  <c r="I87" i="4"/>
  <c r="I86" i="4"/>
  <c r="I85" i="4"/>
  <c r="I83" i="4"/>
  <c r="I82" i="4"/>
  <c r="I80" i="4"/>
  <c r="I79" i="4"/>
  <c r="I74" i="4"/>
  <c r="I73" i="4"/>
  <c r="I71" i="4"/>
  <c r="I70" i="4"/>
  <c r="I68" i="4"/>
  <c r="I67" i="4"/>
  <c r="I66" i="4"/>
  <c r="I63" i="4"/>
  <c r="I62" i="4"/>
  <c r="I61" i="4" s="1"/>
  <c r="I59" i="4"/>
  <c r="I58" i="4"/>
  <c r="I55" i="4"/>
  <c r="I54" i="4"/>
  <c r="I53" i="4" s="1"/>
  <c r="I52" i="4"/>
  <c r="I51" i="4"/>
  <c r="I44" i="4"/>
  <c r="I43" i="4"/>
  <c r="I42" i="4"/>
  <c r="I40" i="4"/>
  <c r="I39" i="4"/>
  <c r="J58" i="4" l="1"/>
  <c r="I57" i="4"/>
  <c r="J39" i="4"/>
  <c r="J40" i="4"/>
  <c r="J36" i="4" l="1"/>
  <c r="O17" i="1" l="1"/>
  <c r="D29" i="4"/>
  <c r="O10" i="1" l="1"/>
  <c r="G17" i="1"/>
  <c r="H10" i="1"/>
  <c r="I10" i="1"/>
  <c r="I17" i="1"/>
  <c r="H17" i="1"/>
  <c r="G10" i="1"/>
  <c r="I9" i="1" l="1"/>
  <c r="H9" i="1"/>
  <c r="G9" i="1"/>
  <c r="K47" i="4" l="1"/>
  <c r="K49" i="4"/>
  <c r="K46" i="4"/>
  <c r="K52" i="4"/>
  <c r="K86" i="4"/>
  <c r="K83" i="4"/>
  <c r="K80" i="4"/>
  <c r="K74" i="4"/>
  <c r="K71" i="4"/>
  <c r="K67" i="4"/>
  <c r="K63" i="4"/>
  <c r="K59" i="4"/>
  <c r="K55" i="4"/>
  <c r="K43" i="4"/>
  <c r="K40" i="4"/>
  <c r="K87" i="4"/>
  <c r="K68" i="4"/>
  <c r="K44" i="4"/>
  <c r="K85" i="4"/>
  <c r="K82" i="4"/>
  <c r="K79" i="4"/>
  <c r="K73" i="4"/>
  <c r="K70" i="4"/>
  <c r="K66" i="4"/>
  <c r="K62" i="4"/>
  <c r="K61" i="4" s="1"/>
  <c r="K58" i="4"/>
  <c r="K57" i="4" s="1"/>
  <c r="K54" i="4"/>
  <c r="K53" i="4" s="1"/>
  <c r="K51" i="4"/>
  <c r="K42" i="4"/>
  <c r="K39" i="4"/>
  <c r="I34" i="4"/>
  <c r="I33" i="4" l="1"/>
  <c r="D7" i="4"/>
  <c r="K10" i="1" l="1"/>
  <c r="L10" i="1"/>
  <c r="M10" i="1"/>
  <c r="I28" i="4" l="1"/>
  <c r="J90" i="4"/>
  <c r="K88" i="4"/>
  <c r="Q35" i="1" s="1"/>
  <c r="J28" i="4" l="1"/>
  <c r="J89" i="4"/>
  <c r="J88" i="4" s="1"/>
  <c r="I88" i="4"/>
  <c r="J35" i="1" l="1"/>
  <c r="N35" i="1" l="1"/>
  <c r="P35" i="1"/>
  <c r="K30" i="4" l="1"/>
  <c r="Q18" i="1" s="1"/>
  <c r="A19" i="1" l="1"/>
  <c r="A20" i="1" s="1"/>
  <c r="A21" i="1" s="1"/>
  <c r="I30" i="4" l="1"/>
  <c r="J32" i="4"/>
  <c r="I10" i="4"/>
  <c r="A33" i="4"/>
  <c r="A38" i="4" s="1"/>
  <c r="J18" i="1" l="1"/>
  <c r="J30" i="4"/>
  <c r="P18" i="1" l="1"/>
  <c r="I8" i="4"/>
  <c r="J11" i="1" l="1"/>
  <c r="N11" i="1" l="1"/>
  <c r="P11" i="1"/>
  <c r="I27" i="4" l="1"/>
  <c r="I20" i="4"/>
  <c r="I26" i="4" l="1"/>
  <c r="J27" i="4"/>
  <c r="J26" i="4" s="1"/>
  <c r="J9" i="4"/>
  <c r="K9" i="4"/>
  <c r="J17" i="4" l="1"/>
  <c r="K27" i="4" l="1"/>
  <c r="K26" i="4" s="1"/>
  <c r="J20" i="4"/>
  <c r="J34" i="4"/>
  <c r="K20" i="4"/>
  <c r="K19" i="4" l="1"/>
  <c r="I19" i="4"/>
  <c r="A12" i="1" l="1"/>
  <c r="A13" i="1" s="1"/>
  <c r="A14" i="1" s="1"/>
  <c r="A11" i="4"/>
  <c r="A16" i="4" s="1"/>
  <c r="J15" i="4"/>
  <c r="J14" i="4"/>
  <c r="J13" i="4"/>
  <c r="J12" i="4"/>
  <c r="K11" i="4"/>
  <c r="Q12" i="1" s="1"/>
  <c r="I11" i="4"/>
  <c r="K33" i="4"/>
  <c r="Q19" i="1" s="1"/>
  <c r="J35" i="4"/>
  <c r="J33" i="4" l="1"/>
  <c r="J11" i="4"/>
  <c r="J12" i="1"/>
  <c r="J19" i="1" l="1"/>
  <c r="N12" i="1"/>
  <c r="P12" i="1"/>
  <c r="P19" i="1" l="1"/>
  <c r="N19" i="1"/>
  <c r="A15" i="1"/>
  <c r="A16" i="1" s="1"/>
  <c r="J18" i="4"/>
  <c r="J16" i="4" s="1"/>
  <c r="K16" i="4"/>
  <c r="Q13" i="1" s="1"/>
  <c r="I16" i="4"/>
  <c r="A19" i="4"/>
  <c r="A21" i="4" s="1"/>
  <c r="A26" i="4" s="1"/>
  <c r="J13" i="1" l="1"/>
  <c r="P13" i="1" l="1"/>
  <c r="N13" i="1"/>
  <c r="M18" i="1"/>
  <c r="M17" i="1" s="1"/>
  <c r="L18" i="1"/>
  <c r="L17" i="1" s="1"/>
  <c r="K18" i="1"/>
  <c r="K17" i="1" s="1"/>
  <c r="N18" i="1" l="1"/>
  <c r="I180" i="4"/>
  <c r="I178" i="4"/>
  <c r="I177" i="4"/>
  <c r="I176" i="4"/>
  <c r="I175" i="4"/>
  <c r="K174" i="4"/>
  <c r="Q53" i="1" s="1"/>
  <c r="J175" i="4" l="1"/>
  <c r="J177" i="4"/>
  <c r="J179" i="4"/>
  <c r="J176" i="4"/>
  <c r="J178" i="4"/>
  <c r="J180" i="4"/>
  <c r="I174" i="4"/>
  <c r="J174" i="4" l="1"/>
  <c r="J53" i="1"/>
  <c r="J10" i="4" l="1"/>
  <c r="P53" i="1"/>
  <c r="N53" i="1"/>
  <c r="K8" i="4" l="1"/>
  <c r="Q11" i="1" s="1"/>
  <c r="J8" i="4" l="1"/>
  <c r="I165" i="4"/>
  <c r="I164" i="4"/>
  <c r="I163" i="4"/>
  <c r="I162" i="4"/>
  <c r="K161" i="4"/>
  <c r="J79" i="4" l="1"/>
  <c r="J162" i="4"/>
  <c r="J164" i="4"/>
  <c r="Q50" i="1"/>
  <c r="J163" i="4"/>
  <c r="J165" i="4"/>
  <c r="K78" i="4"/>
  <c r="I161" i="4"/>
  <c r="J161" i="4" l="1"/>
  <c r="I78" i="4"/>
  <c r="J50" i="1"/>
  <c r="P50" i="1" s="1"/>
  <c r="Q32" i="1"/>
  <c r="J80" i="4"/>
  <c r="J32" i="1" l="1"/>
  <c r="N50" i="1"/>
  <c r="J78" i="4"/>
  <c r="N32" i="1" l="1"/>
  <c r="P32" i="1"/>
  <c r="J24" i="4"/>
  <c r="J25" i="4"/>
  <c r="A39" i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22" i="1" l="1"/>
  <c r="A23" i="1" s="1"/>
  <c r="A41" i="4"/>
  <c r="K75" i="4"/>
  <c r="K21" i="4"/>
  <c r="I170" i="4"/>
  <c r="I169" i="4"/>
  <c r="I168" i="4"/>
  <c r="I167" i="4"/>
  <c r="K166" i="4"/>
  <c r="I160" i="4"/>
  <c r="I159" i="4"/>
  <c r="I158" i="4"/>
  <c r="I157" i="4"/>
  <c r="K156" i="4"/>
  <c r="I155" i="4"/>
  <c r="I154" i="4"/>
  <c r="I153" i="4"/>
  <c r="I152" i="4"/>
  <c r="K151" i="4"/>
  <c r="I150" i="4"/>
  <c r="I149" i="4"/>
  <c r="I148" i="4"/>
  <c r="I147" i="4"/>
  <c r="I146" i="4"/>
  <c r="I145" i="4"/>
  <c r="K144" i="4"/>
  <c r="I141" i="4"/>
  <c r="I140" i="4"/>
  <c r="I139" i="4"/>
  <c r="I138" i="4"/>
  <c r="I134" i="4"/>
  <c r="I133" i="4"/>
  <c r="I132" i="4"/>
  <c r="I131" i="4"/>
  <c r="I127" i="4"/>
  <c r="I126" i="4"/>
  <c r="I125" i="4"/>
  <c r="I124" i="4"/>
  <c r="I122" i="4"/>
  <c r="I121" i="4"/>
  <c r="I120" i="4"/>
  <c r="I119" i="4"/>
  <c r="K118" i="4"/>
  <c r="I117" i="4"/>
  <c r="I116" i="4"/>
  <c r="K115" i="4"/>
  <c r="I114" i="4"/>
  <c r="I113" i="4"/>
  <c r="I112" i="4"/>
  <c r="I111" i="4"/>
  <c r="K110" i="4"/>
  <c r="I105" i="4"/>
  <c r="I104" i="4"/>
  <c r="I103" i="4"/>
  <c r="I102" i="4"/>
  <c r="I101" i="4"/>
  <c r="I100" i="4"/>
  <c r="K99" i="4"/>
  <c r="I98" i="4"/>
  <c r="I97" i="4"/>
  <c r="I96" i="4"/>
  <c r="I95" i="4"/>
  <c r="K94" i="4"/>
  <c r="Q38" i="1" s="1"/>
  <c r="A99" i="4"/>
  <c r="A106" i="4" l="1"/>
  <c r="A110" i="4" s="1"/>
  <c r="A115" i="4" s="1"/>
  <c r="A118" i="4" s="1"/>
  <c r="A123" i="4" s="1"/>
  <c r="A130" i="4" s="1"/>
  <c r="A137" i="4" s="1"/>
  <c r="A144" i="4" s="1"/>
  <c r="A151" i="4" s="1"/>
  <c r="A156" i="4" s="1"/>
  <c r="I123" i="4"/>
  <c r="I166" i="4"/>
  <c r="I137" i="4"/>
  <c r="I130" i="4"/>
  <c r="A45" i="4"/>
  <c r="A48" i="4" s="1"/>
  <c r="A50" i="4" s="1"/>
  <c r="A53" i="4" s="1"/>
  <c r="A57" i="4" s="1"/>
  <c r="A61" i="4" s="1"/>
  <c r="A65" i="4" s="1"/>
  <c r="A69" i="4" s="1"/>
  <c r="A72" i="4" s="1"/>
  <c r="A75" i="4" s="1"/>
  <c r="Q16" i="1"/>
  <c r="J43" i="4"/>
  <c r="J51" i="4"/>
  <c r="J54" i="4"/>
  <c r="J62" i="4"/>
  <c r="J66" i="4"/>
  <c r="J68" i="4"/>
  <c r="J73" i="4"/>
  <c r="J82" i="4"/>
  <c r="J85" i="4"/>
  <c r="J87" i="4"/>
  <c r="J96" i="4"/>
  <c r="J98" i="4"/>
  <c r="J100" i="4"/>
  <c r="J102" i="4"/>
  <c r="J104" i="4"/>
  <c r="Q41" i="1"/>
  <c r="J112" i="4"/>
  <c r="J114" i="4"/>
  <c r="Q43" i="1"/>
  <c r="J120" i="4"/>
  <c r="J122" i="4"/>
  <c r="J126" i="4"/>
  <c r="Q45" i="1"/>
  <c r="J132" i="4"/>
  <c r="J134" i="4"/>
  <c r="J140" i="4"/>
  <c r="Q47" i="1"/>
  <c r="J146" i="4"/>
  <c r="J148" i="4"/>
  <c r="J150" i="4"/>
  <c r="J152" i="4"/>
  <c r="J154" i="4"/>
  <c r="Q49" i="1"/>
  <c r="J158" i="4"/>
  <c r="J160" i="4"/>
  <c r="J169" i="4"/>
  <c r="Q15" i="1"/>
  <c r="J77" i="4"/>
  <c r="J42" i="4"/>
  <c r="J44" i="4"/>
  <c r="J47" i="4"/>
  <c r="J52" i="4"/>
  <c r="J55" i="4"/>
  <c r="J59" i="4"/>
  <c r="J63" i="4"/>
  <c r="J67" i="4"/>
  <c r="J71" i="4"/>
  <c r="J74" i="4"/>
  <c r="J83" i="4"/>
  <c r="J86" i="4"/>
  <c r="J95" i="4"/>
  <c r="J97" i="4"/>
  <c r="Q39" i="1"/>
  <c r="J101" i="4"/>
  <c r="J103" i="4"/>
  <c r="J105" i="4"/>
  <c r="J111" i="4"/>
  <c r="J113" i="4"/>
  <c r="Q42" i="1"/>
  <c r="J117" i="4"/>
  <c r="J119" i="4"/>
  <c r="J121" i="4"/>
  <c r="Q44" i="1"/>
  <c r="J125" i="4"/>
  <c r="J127" i="4"/>
  <c r="J131" i="4"/>
  <c r="J133" i="4"/>
  <c r="Q46" i="1"/>
  <c r="J139" i="4"/>
  <c r="J141" i="4"/>
  <c r="J145" i="4"/>
  <c r="J147" i="4"/>
  <c r="J149" i="4"/>
  <c r="Q48" i="1"/>
  <c r="J153" i="4"/>
  <c r="J155" i="4"/>
  <c r="J157" i="4"/>
  <c r="J159" i="4"/>
  <c r="Q51" i="1"/>
  <c r="J168" i="4"/>
  <c r="J170" i="4"/>
  <c r="J22" i="4"/>
  <c r="Q31" i="1"/>
  <c r="J19" i="4"/>
  <c r="A24" i="1"/>
  <c r="I156" i="4"/>
  <c r="K41" i="4"/>
  <c r="I110" i="4"/>
  <c r="I118" i="4"/>
  <c r="J167" i="4"/>
  <c r="I94" i="4"/>
  <c r="I115" i="4"/>
  <c r="J138" i="4"/>
  <c r="K84" i="4"/>
  <c r="I99" i="4"/>
  <c r="J116" i="4"/>
  <c r="J124" i="4"/>
  <c r="I144" i="4"/>
  <c r="I151" i="4"/>
  <c r="K65" i="4"/>
  <c r="I72" i="4"/>
  <c r="I81" i="4"/>
  <c r="K45" i="4"/>
  <c r="K50" i="4"/>
  <c r="K48" i="4"/>
  <c r="I38" i="4"/>
  <c r="J46" i="4"/>
  <c r="I45" i="4"/>
  <c r="K69" i="4"/>
  <c r="K38" i="4"/>
  <c r="I41" i="4"/>
  <c r="I50" i="4"/>
  <c r="I65" i="4"/>
  <c r="K72" i="4"/>
  <c r="K81" i="4"/>
  <c r="I84" i="4"/>
  <c r="J23" i="4"/>
  <c r="I91" i="4" l="1"/>
  <c r="J123" i="4"/>
  <c r="J130" i="4"/>
  <c r="J53" i="4"/>
  <c r="J61" i="4"/>
  <c r="J57" i="4"/>
  <c r="J137" i="4"/>
  <c r="J118" i="4"/>
  <c r="J38" i="4"/>
  <c r="J21" i="4"/>
  <c r="J99" i="4"/>
  <c r="J84" i="4"/>
  <c r="J156" i="4"/>
  <c r="J81" i="4"/>
  <c r="J65" i="4"/>
  <c r="J41" i="4"/>
  <c r="J151" i="4"/>
  <c r="J144" i="4"/>
  <c r="J110" i="4"/>
  <c r="J94" i="4"/>
  <c r="J72" i="4"/>
  <c r="J50" i="4"/>
  <c r="Q33" i="1"/>
  <c r="J28" i="1"/>
  <c r="J26" i="1"/>
  <c r="J24" i="1"/>
  <c r="Q20" i="1"/>
  <c r="J45" i="4"/>
  <c r="Q24" i="1"/>
  <c r="J33" i="1"/>
  <c r="Q28" i="1"/>
  <c r="J47" i="1"/>
  <c r="P47" i="1" s="1"/>
  <c r="J115" i="4"/>
  <c r="Q34" i="1"/>
  <c r="J44" i="1"/>
  <c r="N44" i="1" s="1"/>
  <c r="J46" i="1"/>
  <c r="P46" i="1" s="1"/>
  <c r="J41" i="1"/>
  <c r="N41" i="1" s="1"/>
  <c r="J49" i="1"/>
  <c r="P49" i="1" s="1"/>
  <c r="J51" i="1"/>
  <c r="N51" i="1" s="1"/>
  <c r="Q14" i="1"/>
  <c r="J34" i="1"/>
  <c r="Q30" i="1"/>
  <c r="Q27" i="1"/>
  <c r="Q25" i="1"/>
  <c r="J21" i="1"/>
  <c r="Q29" i="1"/>
  <c r="J22" i="1"/>
  <c r="J25" i="1"/>
  <c r="Q23" i="1"/>
  <c r="J27" i="1"/>
  <c r="Q22" i="1"/>
  <c r="J30" i="1"/>
  <c r="Q26" i="1"/>
  <c r="J48" i="1"/>
  <c r="P48" i="1" s="1"/>
  <c r="J39" i="1"/>
  <c r="P39" i="1" s="1"/>
  <c r="J42" i="1"/>
  <c r="N42" i="1" s="1"/>
  <c r="J166" i="4"/>
  <c r="J43" i="1"/>
  <c r="N43" i="1" s="1"/>
  <c r="Q21" i="1"/>
  <c r="J45" i="1"/>
  <c r="N45" i="1" s="1"/>
  <c r="J14" i="1"/>
  <c r="A25" i="1"/>
  <c r="A78" i="4"/>
  <c r="A81" i="4" s="1"/>
  <c r="A161" i="4"/>
  <c r="A166" i="4" s="1"/>
  <c r="A171" i="4" s="1"/>
  <c r="A174" i="4" s="1"/>
  <c r="J20" i="1"/>
  <c r="I21" i="4"/>
  <c r="J38" i="1"/>
  <c r="I75" i="4"/>
  <c r="J49" i="4"/>
  <c r="I48" i="4"/>
  <c r="J70" i="4"/>
  <c r="I69" i="4"/>
  <c r="J36" i="1" l="1"/>
  <c r="P38" i="1"/>
  <c r="I7" i="4"/>
  <c r="N30" i="1"/>
  <c r="N27" i="1"/>
  <c r="N25" i="1"/>
  <c r="N26" i="1"/>
  <c r="N22" i="1"/>
  <c r="P21" i="1"/>
  <c r="P34" i="1"/>
  <c r="P33" i="1"/>
  <c r="N24" i="1"/>
  <c r="N28" i="1"/>
  <c r="I29" i="4"/>
  <c r="N38" i="1"/>
  <c r="P51" i="1"/>
  <c r="P27" i="1"/>
  <c r="P22" i="1"/>
  <c r="N34" i="1"/>
  <c r="P41" i="1"/>
  <c r="P43" i="1"/>
  <c r="P45" i="1"/>
  <c r="N21" i="1"/>
  <c r="P26" i="1"/>
  <c r="N33" i="1"/>
  <c r="P42" i="1"/>
  <c r="P44" i="1"/>
  <c r="N47" i="1"/>
  <c r="P24" i="1"/>
  <c r="P30" i="1"/>
  <c r="N39" i="1"/>
  <c r="N48" i="1"/>
  <c r="P25" i="1"/>
  <c r="P28" i="1"/>
  <c r="N46" i="1"/>
  <c r="N49" i="1"/>
  <c r="J69" i="4"/>
  <c r="J48" i="4"/>
  <c r="J31" i="1"/>
  <c r="J29" i="1"/>
  <c r="J23" i="1"/>
  <c r="J75" i="4"/>
  <c r="J15" i="1"/>
  <c r="J16" i="1"/>
  <c r="P20" i="1"/>
  <c r="A26" i="1"/>
  <c r="A84" i="4"/>
  <c r="A88" i="4" s="1"/>
  <c r="N20" i="1"/>
  <c r="J17" i="1" l="1"/>
  <c r="N36" i="1"/>
  <c r="I6" i="4"/>
  <c r="P29" i="1"/>
  <c r="P31" i="1"/>
  <c r="N15" i="1"/>
  <c r="J10" i="1"/>
  <c r="N16" i="1"/>
  <c r="P16" i="1"/>
  <c r="N31" i="1"/>
  <c r="P23" i="1"/>
  <c r="N23" i="1"/>
  <c r="N29" i="1"/>
  <c r="A27" i="1"/>
  <c r="L9" i="1"/>
  <c r="B5" i="4"/>
  <c r="C5" i="4" s="1"/>
  <c r="D5" i="4" s="1"/>
  <c r="G5" i="4"/>
  <c r="H5" i="4" s="1"/>
  <c r="I5" i="4" s="1"/>
  <c r="J5" i="4" s="1"/>
  <c r="K5" i="4" s="1"/>
  <c r="B8" i="1"/>
  <c r="C8" i="1" s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N17" i="1" l="1"/>
  <c r="J9" i="1"/>
  <c r="A28" i="1"/>
  <c r="M9" i="1"/>
  <c r="K9" i="1"/>
  <c r="O9" i="1"/>
  <c r="D6" i="4"/>
  <c r="A29" i="1" l="1"/>
  <c r="P14" i="1"/>
  <c r="N14" i="1"/>
  <c r="N10" i="1" s="1"/>
  <c r="N9" i="1" s="1"/>
  <c r="P15" i="1"/>
  <c r="A30" i="1" l="1"/>
  <c r="A31" i="1" l="1"/>
  <c r="A32" i="1" l="1"/>
  <c r="A33" i="1" l="1"/>
  <c r="A34" i="1" l="1"/>
  <c r="A35" i="1" s="1"/>
</calcChain>
</file>

<file path=xl/sharedStrings.xml><?xml version="1.0" encoding="utf-8"?>
<sst xmlns="http://schemas.openxmlformats.org/spreadsheetml/2006/main" count="562" uniqueCount="107">
  <si>
    <t>№ п/п</t>
  </si>
  <si>
    <t>Адрес МКД</t>
  </si>
  <si>
    <t>Количество этажей</t>
  </si>
  <si>
    <t>Общая площадь МКД, всего</t>
  </si>
  <si>
    <t>Стоимость капитального ремонта</t>
  </si>
  <si>
    <t>Плановая дата завершения работ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</si>
  <si>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</si>
  <si>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</si>
  <si>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</si>
  <si>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кв. м</t>
  </si>
  <si>
    <t>чел.</t>
  </si>
  <si>
    <t>руб.</t>
  </si>
  <si>
    <t>руб./кв. м</t>
  </si>
  <si>
    <t>Х</t>
  </si>
  <si>
    <t>всего</t>
  </si>
  <si>
    <t>в том числе</t>
  </si>
  <si>
    <t>Итого по Асиновскому району</t>
  </si>
  <si>
    <t>Примечание:</t>
  </si>
  <si>
    <t>МКД - многоквартирный дом,</t>
  </si>
  <si>
    <t>ремонт</t>
  </si>
  <si>
    <t>Площадь помещений МКД, кв. м</t>
  </si>
  <si>
    <t>Вид элемента строительных конструкций, оборудования, инженерных систем</t>
  </si>
  <si>
    <t xml:space="preserve">Вид работы (услуги) по капитальному ремонту </t>
  </si>
  <si>
    <t>Стоимость работы (услуги), руб.</t>
  </si>
  <si>
    <t>Удельная стоимость работы (услуги), руб./кв. м</t>
  </si>
  <si>
    <t>Предельная стоимость работы (услуги), руб./кв. м</t>
  </si>
  <si>
    <t>№
п/п</t>
  </si>
  <si>
    <t>за счет средств собственников 
помещений в МКД</t>
  </si>
  <si>
    <t>за счет других не запрещенных законом источников</t>
  </si>
  <si>
    <t>крыша</t>
  </si>
  <si>
    <t>строительный контроль</t>
  </si>
  <si>
    <t>Итого</t>
  </si>
  <si>
    <t>Д</t>
  </si>
  <si>
    <t>К</t>
  </si>
  <si>
    <t>Фонд - государственная корпорация - Фонд содействия реформированию жилищно-коммунального хозяйства</t>
  </si>
  <si>
    <t>разработка проектной документации, включая проведение проверки достоверности определения сметной стоимости</t>
  </si>
  <si>
    <t>внутридомовая инженерная система теплоснабжения</t>
  </si>
  <si>
    <t>Код МКД</t>
  </si>
  <si>
    <t>Материал стен &lt;4&gt;</t>
  </si>
  <si>
    <t>Год ввода в эксплуатацию</t>
  </si>
  <si>
    <t>Вид работы (услуги) 
по капитальному ремонту &lt;2&gt;</t>
  </si>
  <si>
    <t>Площадь помещений в МКД</t>
  </si>
  <si>
    <t>Способ формирования фонда капитального ремонта многоквартирного дома &lt;3&gt;</t>
  </si>
  <si>
    <t>Количество жителей, зарегистрированных в МКД 
на дату утверждения краткосрочного плана</t>
  </si>
  <si>
    <t xml:space="preserve">&lt;1&gt; </t>
  </si>
  <si>
    <t>&lt;2&gt;</t>
  </si>
  <si>
    <t>&lt;3&gt;</t>
  </si>
  <si>
    <t>выбирается из списка: 1 - счет регионального оператора; 2 - специальный счет, владельцем которого является региональный оператор; 3 - специальный счет, владельцем которого является управляющая компания; 4 - специальный счет, владельцем которого является товарищество собственников жилья; 5 - специальный счет, владельцем которого является жилищный кооператив; 6 - специальный счет, владельцем которого является лицо, не указанное в кодах 2 – 5.</t>
  </si>
  <si>
    <t xml:space="preserve">&lt;4&gt; </t>
  </si>
  <si>
    <t>выбирается из списка: К - кирпичные, П - панельные, Д - деревянные, Пр - прочие.</t>
  </si>
  <si>
    <t>ПСД</t>
  </si>
  <si>
    <t>СМР</t>
  </si>
  <si>
    <t>выбирается из списка: ПСД, СМР – разработка проектно-сметной документации, включая проведение проверки достоверности определения сметной стоимости и выполнение работ по капитальному ремонту и осуществлению строительного контроля; ПСД, СМР (н) – разработка проектно-сметной документации, включая проведение проверки достоверности определения сметной стоимости и начало работ по капитальному ремонту; СМР (з) – завершение работ по капитальному ремонту и осуществление строительного контроля; ПСД – разработка проектно-сметной документации, включая проведение проверки достоверности определения сметной стоимости; СМР – выполнение работ по капитальному ремонту и осуществление строительного контроля;</t>
  </si>
  <si>
    <t>внутридомовая инженерная система холодного водоснабжения</t>
  </si>
  <si>
    <t>внутридомовая инженерная система горячего водоснабжения</t>
  </si>
  <si>
    <t>ТС ХВС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</si>
  <si>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</si>
  <si>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</si>
  <si>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r>
      <t>Вид элемента строительных конструкций, 
оборудования, инженерных систем &lt;1&gt;</t>
    </r>
    <r>
      <rPr>
        <vertAlign val="superscript"/>
        <sz val="12"/>
        <color indexed="8"/>
        <rFont val="PT Astra Serif"/>
        <family val="1"/>
        <charset val="204"/>
      </rPr>
      <t>)</t>
    </r>
  </si>
  <si>
    <t>2. Перечень работ и услуг по капитальному ремонту общего имущества в многоквартирных домах, включенных в краткосрочный план реализации в 2023 - 2025 гг. региональной программы капитального ремонта общего имущества в многоквартирных домах</t>
  </si>
  <si>
    <t>2023 год</t>
  </si>
  <si>
    <t>2024 год</t>
  </si>
  <si>
    <t>2025 год</t>
  </si>
  <si>
    <t>г. Асино, ул. Лесозаводская, д. 24</t>
  </si>
  <si>
    <t>г. Асино, ул. Лесозаводская, д. 26</t>
  </si>
  <si>
    <t>г. Асино, ул. имени В.В. Липатова, д. 29</t>
  </si>
  <si>
    <t>г. Асино, ул. им. Матросова, д. 10</t>
  </si>
  <si>
    <t>г. Асино, ул. имени Ленина, д. 3</t>
  </si>
  <si>
    <t>г. Асино, ул. имени Ленина, д. 7</t>
  </si>
  <si>
    <t>г. Асино, ул. Сентябрьская, д. 73</t>
  </si>
  <si>
    <t>г. Асино, ул. АВПУ, д. 33</t>
  </si>
  <si>
    <t>г. Асино, ул. имени Ленина, д. 5</t>
  </si>
  <si>
    <t>г. Асино, ул. им. Матросова, д. 1</t>
  </si>
  <si>
    <t>г. Асино, ул. Транспортная, д. 2</t>
  </si>
  <si>
    <t>Краткосрочный план реализации в 2023 - 2025 гг. региональной программы капитального ремонта общего имущества в многоквартирных домах</t>
  </si>
  <si>
    <t>1. Перечень многоквартирных домов, включенных в краткосрочный план реализации в 2023 - 2025 гг. региональной программы капитального ремонта общего имущества в многоквартирных домах</t>
  </si>
  <si>
    <t>2023</t>
  </si>
  <si>
    <t>ТС ХВС ГВС</t>
  </si>
  <si>
    <t>г. Асино, ул. Боровая, д. 6</t>
  </si>
  <si>
    <t>К НОК</t>
  </si>
  <si>
    <t xml:space="preserve">К </t>
  </si>
  <si>
    <t>г. Асино, ул. Центральная, д. 6</t>
  </si>
  <si>
    <t>г. Асино, ул. Николая Довгалюка, д. 2</t>
  </si>
  <si>
    <t>г. Асино, ул. Мичурина, д. 3</t>
  </si>
  <si>
    <t>г. Асино, ул. 9 Мая, д. 64</t>
  </si>
  <si>
    <t>внутридомовая инженерная система электроснабжения</t>
  </si>
  <si>
    <t>К ЭС</t>
  </si>
  <si>
    <t xml:space="preserve">ТС ХВС </t>
  </si>
  <si>
    <t>г. Асино, ул. Партизанская, д. 68</t>
  </si>
  <si>
    <t>разработка проектной документации, включая проведение проверки достоверности определения сметной стоимости (ремонт)</t>
  </si>
  <si>
    <t>несущие и ограждающие ненесущие конструкции, не отнесенные в соответствии с законодательством о градостроительной деятельности к реконструкции объектов капитального строительства</t>
  </si>
  <si>
    <t>г. Асино, ул. им. Чернышевского, д. 15</t>
  </si>
  <si>
    <t>выбирается из списка: ЭС - ремонт внутридомовых инженерных систем электроснабжения; ГС - ремонт внутридомовых инженерных систем газоснабжения; ТС - ремонт внутридомовых инженерных систем теплоснабжения; ВО - ремонт внутридомовых инженерных систем водоотведения; ЛО - ремонт или замена лифтового оборудования, признанного непригодным для эксплуатации, ремонт лифтовых шахт; К - ремонт крыш/переустройство невентилируемой крыши на вентилируемую крышу/устройство выходов на кровлю; ПП - ремонт подвальных помещений, относящихся к общему имуществу в многоквартирных домах; РУФ - утепление и (или) ремонт фасадов; Ф - ремонт фундаментов; ГВС - ремонт внутридомовых инженерных систем горячего водоснабжения; ХВС - ремонт внутридомовых инженерных систем холодного водоснабжения; ПУ, УУ - установка коллективных (общедомовых) приборов учета потребления ресурсов необходимых для предоставления коммунальных услуг, и (или) узлов управления и регулирования потребления этих ресурсов (тепловой энергии, горячей и холодной воды, газа); НОК - ремонт и усиление несущих и ограждающих ненесущих конструкций, не отнесенные в соответствии с законодательством о градостроительной деятельности к реконструкции объектов капитального строительства; НОКр – замена и (или) восстановление несущих строительных конструкций многоквартирного дома и (или) инженерных сетей многоквартирного дома, отнесенные в соответствии с законодательством о градостроительной деятельности к реконструкции объектов капитального строительства; П – устройство, ремонт пандусов и иные работы по приспособлению общего имущества в многоквартирном доме в целях обеспечения его доступности для инвалидов и других маломобильных групп населения;</t>
  </si>
  <si>
    <t>г. Асино, ул. им. 370 Стрелковой дивизии, д. 38</t>
  </si>
  <si>
    <t>г. Асино, ул. им. 370 Стрелковой дивизии, д. 40</t>
  </si>
  <si>
    <t>г. Асино, ул. им. 370 Стрелковой дивизии, д. 30</t>
  </si>
  <si>
    <t>СМР (з)</t>
  </si>
  <si>
    <t>ПСД, СМР (н)</t>
  </si>
  <si>
    <t>2024</t>
  </si>
  <si>
    <t>г. Асино, ул. АВПУ, д. 2</t>
  </si>
  <si>
    <t>фасад</t>
  </si>
  <si>
    <t>ЭС РУФ</t>
  </si>
  <si>
    <t>г. Асино, ул. Тельмана, д. 41</t>
  </si>
  <si>
    <t>г. Асино, ул. им. Крупской, д. 18</t>
  </si>
  <si>
    <t xml:space="preserve"> </t>
  </si>
  <si>
    <r>
      <t xml:space="preserve">Приложение 1
к Постановлению Администрации Асиновского городского поселения
от </t>
    </r>
    <r>
      <rPr>
        <u/>
        <sz val="12"/>
        <color theme="1"/>
        <rFont val="PT Astra Serif"/>
        <charset val="204"/>
      </rPr>
      <t>17.04.2024</t>
    </r>
    <r>
      <rPr>
        <sz val="12"/>
        <color theme="1"/>
        <rFont val="PT Astra Serif"/>
        <family val="1"/>
        <charset val="204"/>
      </rPr>
      <t xml:space="preserve"> № </t>
    </r>
    <r>
      <rPr>
        <u/>
        <sz val="12"/>
        <color theme="1"/>
        <rFont val="PT Astra Serif"/>
        <charset val="204"/>
      </rPr>
      <t>385/24</t>
    </r>
  </si>
  <si>
    <r>
      <t xml:space="preserve">Приложение 2
к Постановлению Администрации Асиновского городского поселения
от </t>
    </r>
    <r>
      <rPr>
        <u/>
        <sz val="12"/>
        <color theme="1"/>
        <rFont val="PT Astra Serif"/>
        <charset val="204"/>
      </rPr>
      <t>17.04.2024</t>
    </r>
    <r>
      <rPr>
        <sz val="12"/>
        <color theme="1"/>
        <rFont val="PT Astra Serif"/>
        <family val="1"/>
        <charset val="204"/>
      </rPr>
      <t xml:space="preserve"> № </t>
    </r>
    <r>
      <rPr>
        <u/>
        <sz val="12"/>
        <color theme="1"/>
        <rFont val="PT Astra Serif"/>
        <charset val="204"/>
      </rPr>
      <t>385/24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</si>
</sst>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PT Astra Serif"/>
      <family val="1"/>
      <charset val="204"/>
    </font>
    <font>
      <sz val="12"/>
      <name val="PT Astra Serif"/>
      <family val="1"/>
      <charset val="204"/>
    </font>
    <font>
      <vertAlign val="superscript"/>
      <sz val="12"/>
      <color indexed="8"/>
      <name val="PT Astra Serif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1"/>
      <color indexed="8"/>
      <name val="Times New Roman"/>
      <family val="1"/>
      <charset val="204"/>
    </font>
    <font>
      <u/>
      <sz val="12"/>
      <color theme="1"/>
      <name val="PT Astra Serif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110">
    <xf numFmtId="0" fontId="0" fillId="0" borderId="0" xfId="0"/>
    <xf numFmtId="0" fontId="5" fillId="0" borderId="0" xfId="0" applyFont="1" applyFill="1"/>
    <xf numFmtId="0" fontId="5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" fontId="1" fillId="0" borderId="0" xfId="0" applyNumberFormat="1" applyFont="1" applyFill="1" applyAlignment="1">
      <alignment horizontal="center" vertical="top"/>
    </xf>
    <xf numFmtId="4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/>
    <xf numFmtId="4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Alignment="1">
      <alignment horizontal="left"/>
    </xf>
    <xf numFmtId="0" fontId="2" fillId="0" borderId="0" xfId="0" applyFont="1" applyFill="1"/>
    <xf numFmtId="4" fontId="2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center" vertical="top" wrapText="1"/>
    </xf>
    <xf numFmtId="4" fontId="2" fillId="0" borderId="1" xfId="0" quotePrefix="1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1" fontId="2" fillId="0" borderId="1" xfId="0" quotePrefix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2" fillId="0" borderId="1" xfId="0" quotePrefix="1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textRotation="90" wrapText="1"/>
    </xf>
    <xf numFmtId="3" fontId="5" fillId="0" borderId="7" xfId="0" applyNumberFormat="1" applyFont="1" applyFill="1" applyBorder="1" applyAlignment="1">
      <alignment horizontal="center" vertical="center" textRotation="90" wrapText="1"/>
    </xf>
    <xf numFmtId="3" fontId="5" fillId="0" borderId="3" xfId="0" applyNumberFormat="1" applyFont="1" applyFill="1" applyBorder="1" applyAlignment="1">
      <alignment horizontal="center" vertical="center" textRotation="90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textRotation="90" wrapText="1"/>
    </xf>
    <xf numFmtId="4" fontId="5" fillId="0" borderId="7" xfId="0" applyNumberFormat="1" applyFont="1" applyFill="1" applyBorder="1" applyAlignment="1">
      <alignment horizontal="center" vertical="center" textRotation="90" wrapText="1"/>
    </xf>
    <xf numFmtId="4" fontId="5" fillId="0" borderId="3" xfId="0" applyNumberFormat="1" applyFont="1" applyFill="1" applyBorder="1" applyAlignment="1">
      <alignment horizontal="center" vertical="center" textRotation="90" wrapText="1"/>
    </xf>
    <xf numFmtId="4" fontId="5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textRotation="90" wrapText="1"/>
    </xf>
    <xf numFmtId="4" fontId="5" fillId="0" borderId="9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1" fontId="6" fillId="0" borderId="2" xfId="0" applyNumberFormat="1" applyFont="1" applyFill="1" applyBorder="1" applyAlignment="1">
      <alignment horizontal="center" vertical="center" textRotation="90" wrapText="1"/>
    </xf>
    <xf numFmtId="1" fontId="6" fillId="0" borderId="7" xfId="0" applyNumberFormat="1" applyFont="1" applyFill="1" applyBorder="1" applyAlignment="1">
      <alignment horizontal="center" vertical="center" textRotation="90" wrapText="1"/>
    </xf>
    <xf numFmtId="1" fontId="6" fillId="0" borderId="3" xfId="0" applyNumberFormat="1" applyFont="1" applyFill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top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center" wrapText="1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topLeftCell="E1" zoomScale="87" zoomScaleNormal="87" zoomScaleSheetLayoutView="80" workbookViewId="0">
      <selection activeCell="N1" sqref="N1:R1"/>
    </sheetView>
  </sheetViews>
  <sheetFormatPr defaultColWidth="9.140625" defaultRowHeight="15.75"/>
  <cols>
    <col min="1" max="1" width="5.5703125" style="58" customWidth="1"/>
    <col min="2" max="2" width="7.140625" style="58" customWidth="1"/>
    <col min="3" max="3" width="49.85546875" style="22" customWidth="1"/>
    <col min="4" max="4" width="9.140625" style="7" bestFit="1" customWidth="1"/>
    <col min="5" max="5" width="16.7109375" style="7" customWidth="1"/>
    <col min="6" max="6" width="15.28515625" style="7" customWidth="1"/>
    <col min="7" max="7" width="12.85546875" style="7" customWidth="1"/>
    <col min="8" max="8" width="12.5703125" style="7" bestFit="1" customWidth="1"/>
    <col min="9" max="9" width="14.28515625" style="7" customWidth="1"/>
    <col min="10" max="10" width="15.7109375" style="22" customWidth="1"/>
    <col min="11" max="11" width="6.7109375" style="22" customWidth="1"/>
    <col min="12" max="13" width="6.85546875" style="22" bestFit="1" customWidth="1"/>
    <col min="14" max="14" width="16.28515625" style="22" customWidth="1"/>
    <col min="15" max="15" width="17.28515625" style="22" customWidth="1"/>
    <col min="16" max="16" width="14.5703125" style="7" customWidth="1"/>
    <col min="17" max="17" width="11.5703125" style="7" customWidth="1"/>
    <col min="18" max="18" width="9.42578125" style="7" customWidth="1"/>
    <col min="19" max="19" width="11.28515625" style="22" customWidth="1"/>
    <col min="20" max="91" width="9.140625" style="22"/>
    <col min="92" max="92" width="3.5703125" style="22" customWidth="1"/>
    <col min="93" max="93" width="14.28515625" style="22" customWidth="1"/>
    <col min="94" max="110" width="9.28515625" style="22" customWidth="1"/>
    <col min="111" max="16384" width="9.140625" style="22"/>
  </cols>
  <sheetData>
    <row r="1" spans="1:19" ht="78" customHeight="1">
      <c r="N1" s="109" t="s">
        <v>105</v>
      </c>
      <c r="O1" s="109"/>
      <c r="P1" s="109"/>
      <c r="Q1" s="109"/>
      <c r="R1" s="109"/>
    </row>
    <row r="2" spans="1:19">
      <c r="A2" s="80" t="s">
        <v>74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19" ht="16.5" customHeight="1">
      <c r="A3" s="80" t="s">
        <v>75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9" ht="15" customHeight="1">
      <c r="A4" s="68" t="s">
        <v>0</v>
      </c>
      <c r="B4" s="81" t="s">
        <v>37</v>
      </c>
      <c r="C4" s="77" t="s">
        <v>1</v>
      </c>
      <c r="D4" s="77" t="s">
        <v>39</v>
      </c>
      <c r="E4" s="71" t="s">
        <v>58</v>
      </c>
      <c r="F4" s="71" t="s">
        <v>40</v>
      </c>
      <c r="G4" s="63" t="s">
        <v>3</v>
      </c>
      <c r="H4" s="63" t="s">
        <v>41</v>
      </c>
      <c r="I4" s="59" t="s">
        <v>43</v>
      </c>
      <c r="J4" s="62" t="s">
        <v>4</v>
      </c>
      <c r="K4" s="62"/>
      <c r="L4" s="62"/>
      <c r="M4" s="62"/>
      <c r="N4" s="62"/>
      <c r="O4" s="62"/>
      <c r="P4" s="63" t="s">
        <v>56</v>
      </c>
      <c r="Q4" s="63" t="s">
        <v>57</v>
      </c>
      <c r="R4" s="63" t="s">
        <v>5</v>
      </c>
      <c r="S4" s="59" t="s">
        <v>42</v>
      </c>
    </row>
    <row r="5" spans="1:19" ht="15" customHeight="1">
      <c r="A5" s="69"/>
      <c r="B5" s="82"/>
      <c r="C5" s="78"/>
      <c r="D5" s="78"/>
      <c r="E5" s="72"/>
      <c r="F5" s="72"/>
      <c r="G5" s="64"/>
      <c r="H5" s="64"/>
      <c r="I5" s="60"/>
      <c r="J5" s="66" t="s">
        <v>14</v>
      </c>
      <c r="K5" s="62" t="s">
        <v>15</v>
      </c>
      <c r="L5" s="62"/>
      <c r="M5" s="62"/>
      <c r="N5" s="62"/>
      <c r="O5" s="62"/>
      <c r="P5" s="64"/>
      <c r="Q5" s="64"/>
      <c r="R5" s="64"/>
      <c r="S5" s="60"/>
    </row>
    <row r="6" spans="1:19" ht="177.75" customHeight="1">
      <c r="A6" s="69"/>
      <c r="B6" s="82"/>
      <c r="C6" s="78"/>
      <c r="D6" s="78"/>
      <c r="E6" s="72"/>
      <c r="F6" s="72"/>
      <c r="G6" s="65"/>
      <c r="H6" s="65"/>
      <c r="I6" s="61"/>
      <c r="J6" s="66"/>
      <c r="K6" s="36" t="s">
        <v>6</v>
      </c>
      <c r="L6" s="36" t="s">
        <v>7</v>
      </c>
      <c r="M6" s="36" t="s">
        <v>8</v>
      </c>
      <c r="N6" s="36" t="s">
        <v>27</v>
      </c>
      <c r="O6" s="36" t="s">
        <v>28</v>
      </c>
      <c r="P6" s="65"/>
      <c r="Q6" s="65"/>
      <c r="R6" s="64"/>
      <c r="S6" s="60"/>
    </row>
    <row r="7" spans="1:19" ht="15" customHeight="1">
      <c r="A7" s="70"/>
      <c r="B7" s="83"/>
      <c r="C7" s="79"/>
      <c r="D7" s="79"/>
      <c r="E7" s="73"/>
      <c r="F7" s="73"/>
      <c r="G7" s="34" t="s">
        <v>9</v>
      </c>
      <c r="H7" s="34" t="s">
        <v>9</v>
      </c>
      <c r="I7" s="56" t="s">
        <v>10</v>
      </c>
      <c r="J7" s="34" t="s">
        <v>11</v>
      </c>
      <c r="K7" s="34" t="s">
        <v>11</v>
      </c>
      <c r="L7" s="34" t="s">
        <v>11</v>
      </c>
      <c r="M7" s="34" t="s">
        <v>11</v>
      </c>
      <c r="N7" s="34" t="s">
        <v>11</v>
      </c>
      <c r="O7" s="34" t="s">
        <v>11</v>
      </c>
      <c r="P7" s="34" t="s">
        <v>12</v>
      </c>
      <c r="Q7" s="34" t="s">
        <v>12</v>
      </c>
      <c r="R7" s="65"/>
      <c r="S7" s="61"/>
    </row>
    <row r="8" spans="1:19">
      <c r="A8" s="37">
        <v>1</v>
      </c>
      <c r="B8" s="37">
        <f>A8+1</f>
        <v>2</v>
      </c>
      <c r="C8" s="37">
        <f t="shared" ref="C8:S8" si="0">B8+1</f>
        <v>3</v>
      </c>
      <c r="D8" s="37">
        <f t="shared" si="0"/>
        <v>4</v>
      </c>
      <c r="E8" s="37">
        <f>D8+1</f>
        <v>5</v>
      </c>
      <c r="F8" s="37">
        <f>E8+1</f>
        <v>6</v>
      </c>
      <c r="G8" s="37">
        <f>F8+1</f>
        <v>7</v>
      </c>
      <c r="H8" s="37">
        <f t="shared" si="0"/>
        <v>8</v>
      </c>
      <c r="I8" s="37">
        <f>H8+1</f>
        <v>9</v>
      </c>
      <c r="J8" s="37">
        <f t="shared" si="0"/>
        <v>10</v>
      </c>
      <c r="K8" s="37">
        <f t="shared" si="0"/>
        <v>11</v>
      </c>
      <c r="L8" s="37">
        <f t="shared" si="0"/>
        <v>12</v>
      </c>
      <c r="M8" s="37">
        <f t="shared" si="0"/>
        <v>13</v>
      </c>
      <c r="N8" s="37">
        <f t="shared" si="0"/>
        <v>14</v>
      </c>
      <c r="O8" s="37">
        <f t="shared" si="0"/>
        <v>15</v>
      </c>
      <c r="P8" s="37">
        <f t="shared" si="0"/>
        <v>16</v>
      </c>
      <c r="Q8" s="37">
        <f t="shared" si="0"/>
        <v>17</v>
      </c>
      <c r="R8" s="37">
        <f t="shared" si="0"/>
        <v>18</v>
      </c>
      <c r="S8" s="37">
        <f t="shared" si="0"/>
        <v>19</v>
      </c>
    </row>
    <row r="9" spans="1:19" ht="15" customHeight="1">
      <c r="A9" s="67" t="s">
        <v>16</v>
      </c>
      <c r="B9" s="67"/>
      <c r="C9" s="67"/>
      <c r="D9" s="48" t="s">
        <v>13</v>
      </c>
      <c r="E9" s="48" t="s">
        <v>13</v>
      </c>
      <c r="F9" s="48" t="s">
        <v>13</v>
      </c>
      <c r="G9" s="23">
        <f t="shared" ref="G9:O9" si="1">G10+G17+G36</f>
        <v>32519.34</v>
      </c>
      <c r="H9" s="23">
        <f t="shared" si="1"/>
        <v>27345.119999999999</v>
      </c>
      <c r="I9" s="24">
        <f t="shared" si="1"/>
        <v>982</v>
      </c>
      <c r="J9" s="23">
        <f t="shared" si="1"/>
        <v>122502183.25</v>
      </c>
      <c r="K9" s="23">
        <f t="shared" si="1"/>
        <v>0</v>
      </c>
      <c r="L9" s="23">
        <f t="shared" si="1"/>
        <v>0</v>
      </c>
      <c r="M9" s="23">
        <f t="shared" si="1"/>
        <v>0</v>
      </c>
      <c r="N9" s="23">
        <f t="shared" si="1"/>
        <v>121129998.56999999</v>
      </c>
      <c r="O9" s="23">
        <f t="shared" si="1"/>
        <v>1372184.68</v>
      </c>
      <c r="P9" s="23" t="s">
        <v>13</v>
      </c>
      <c r="Q9" s="23" t="s">
        <v>13</v>
      </c>
      <c r="R9" s="23" t="s">
        <v>13</v>
      </c>
      <c r="S9" s="23" t="s">
        <v>13</v>
      </c>
    </row>
    <row r="10" spans="1:19">
      <c r="A10" s="74" t="s">
        <v>60</v>
      </c>
      <c r="B10" s="75"/>
      <c r="C10" s="76"/>
      <c r="D10" s="48" t="s">
        <v>13</v>
      </c>
      <c r="E10" s="48" t="s">
        <v>13</v>
      </c>
      <c r="F10" s="48" t="s">
        <v>13</v>
      </c>
      <c r="G10" s="23">
        <f t="shared" ref="G10:O10" si="2">SUM(G11:G16)</f>
        <v>7788.24</v>
      </c>
      <c r="H10" s="23">
        <f t="shared" si="2"/>
        <v>6432.36</v>
      </c>
      <c r="I10" s="24">
        <f t="shared" si="2"/>
        <v>222</v>
      </c>
      <c r="J10" s="23">
        <f t="shared" si="2"/>
        <v>27656300.440000001</v>
      </c>
      <c r="K10" s="23">
        <f t="shared" si="2"/>
        <v>0</v>
      </c>
      <c r="L10" s="23">
        <f t="shared" si="2"/>
        <v>0</v>
      </c>
      <c r="M10" s="23">
        <f t="shared" si="2"/>
        <v>0</v>
      </c>
      <c r="N10" s="23">
        <f t="shared" si="2"/>
        <v>26995252.23</v>
      </c>
      <c r="O10" s="23">
        <f t="shared" si="2"/>
        <v>661048.21</v>
      </c>
      <c r="P10" s="23" t="s">
        <v>13</v>
      </c>
      <c r="Q10" s="23" t="s">
        <v>13</v>
      </c>
      <c r="R10" s="23" t="s">
        <v>13</v>
      </c>
      <c r="S10" s="23" t="s">
        <v>13</v>
      </c>
    </row>
    <row r="11" spans="1:19" ht="15" customHeight="1">
      <c r="A11" s="44">
        <v>1</v>
      </c>
      <c r="B11" s="46">
        <v>4391</v>
      </c>
      <c r="C11" s="26" t="s">
        <v>84</v>
      </c>
      <c r="D11" s="48">
        <v>1966</v>
      </c>
      <c r="E11" s="48" t="s">
        <v>33</v>
      </c>
      <c r="F11" s="48" t="s">
        <v>97</v>
      </c>
      <c r="G11" s="23">
        <v>1070.4000000000001</v>
      </c>
      <c r="H11" s="23">
        <v>999.17</v>
      </c>
      <c r="I11" s="24">
        <v>33</v>
      </c>
      <c r="J11" s="29">
        <f>'Форма 2'!I8</f>
        <v>3274978.37</v>
      </c>
      <c r="K11" s="23">
        <v>0</v>
      </c>
      <c r="L11" s="23">
        <v>0</v>
      </c>
      <c r="M11" s="23">
        <v>0</v>
      </c>
      <c r="N11" s="23">
        <f t="shared" ref="N11:N14" si="3">J11-K11-L11-M11-O11</f>
        <v>3051817.28</v>
      </c>
      <c r="O11" s="23">
        <v>223161.09</v>
      </c>
      <c r="P11" s="29">
        <f>J11/H11</f>
        <v>3277.7</v>
      </c>
      <c r="Q11" s="23">
        <f>'Форма 2'!K8</f>
        <v>15710</v>
      </c>
      <c r="R11" s="30">
        <v>2024</v>
      </c>
      <c r="S11" s="57">
        <v>1</v>
      </c>
    </row>
    <row r="12" spans="1:19" ht="15" customHeight="1">
      <c r="A12" s="44">
        <f>A11+1</f>
        <v>2</v>
      </c>
      <c r="B12" s="49">
        <v>4552</v>
      </c>
      <c r="C12" s="26" t="s">
        <v>95</v>
      </c>
      <c r="D12" s="27">
        <v>1963</v>
      </c>
      <c r="E12" s="48" t="s">
        <v>79</v>
      </c>
      <c r="F12" s="48" t="s">
        <v>96</v>
      </c>
      <c r="G12" s="28">
        <v>325.86</v>
      </c>
      <c r="H12" s="28">
        <v>306.33999999999997</v>
      </c>
      <c r="I12" s="24">
        <v>15</v>
      </c>
      <c r="J12" s="29">
        <f>'Форма 2'!I11</f>
        <v>2811584.26</v>
      </c>
      <c r="K12" s="23">
        <v>0</v>
      </c>
      <c r="L12" s="23">
        <v>0</v>
      </c>
      <c r="M12" s="23">
        <v>0</v>
      </c>
      <c r="N12" s="23">
        <f t="shared" si="3"/>
        <v>2753124.64</v>
      </c>
      <c r="O12" s="23">
        <v>58459.62</v>
      </c>
      <c r="P12" s="29">
        <f t="shared" ref="P12:P16" si="4">J12/H12</f>
        <v>9177.99</v>
      </c>
      <c r="Q12" s="23">
        <f>'Форма 2'!K11</f>
        <v>21248</v>
      </c>
      <c r="R12" s="25" t="s">
        <v>76</v>
      </c>
      <c r="S12" s="57">
        <v>1</v>
      </c>
    </row>
    <row r="13" spans="1:19">
      <c r="A13" s="44">
        <f t="shared" ref="A13:A14" si="5">A12+1</f>
        <v>3</v>
      </c>
      <c r="B13" s="46">
        <v>4616</v>
      </c>
      <c r="C13" s="33" t="s">
        <v>94</v>
      </c>
      <c r="D13" s="48">
        <v>1963</v>
      </c>
      <c r="E13" s="48" t="s">
        <v>33</v>
      </c>
      <c r="F13" s="48" t="s">
        <v>96</v>
      </c>
      <c r="G13" s="23">
        <v>443.28</v>
      </c>
      <c r="H13" s="23">
        <v>398.8</v>
      </c>
      <c r="I13" s="24">
        <v>13</v>
      </c>
      <c r="J13" s="23">
        <f>'Форма 2'!I16</f>
        <v>2864235.62</v>
      </c>
      <c r="K13" s="23">
        <v>0</v>
      </c>
      <c r="L13" s="23">
        <v>0</v>
      </c>
      <c r="M13" s="23">
        <v>0</v>
      </c>
      <c r="N13" s="23">
        <f t="shared" ref="N13" si="6">J13-K13-L13-M13-O13</f>
        <v>2801862.42</v>
      </c>
      <c r="O13" s="23">
        <v>62373.2</v>
      </c>
      <c r="P13" s="23">
        <f t="shared" si="4"/>
        <v>7182.14</v>
      </c>
      <c r="Q13" s="23">
        <f>'Форма 2'!K16</f>
        <v>15611</v>
      </c>
      <c r="R13" s="25" t="s">
        <v>76</v>
      </c>
      <c r="S13" s="57">
        <v>1</v>
      </c>
    </row>
    <row r="14" spans="1:19" ht="15" customHeight="1">
      <c r="A14" s="44">
        <f t="shared" si="5"/>
        <v>4</v>
      </c>
      <c r="B14" s="43">
        <v>4591</v>
      </c>
      <c r="C14" s="26" t="s">
        <v>83</v>
      </c>
      <c r="D14" s="27">
        <v>1973</v>
      </c>
      <c r="E14" s="41" t="s">
        <v>33</v>
      </c>
      <c r="F14" s="48" t="s">
        <v>50</v>
      </c>
      <c r="G14" s="28">
        <v>967.3</v>
      </c>
      <c r="H14" s="28">
        <v>886</v>
      </c>
      <c r="I14" s="24">
        <v>31</v>
      </c>
      <c r="J14" s="23">
        <f>'Форма 2'!I19</f>
        <v>167041.25</v>
      </c>
      <c r="K14" s="23">
        <v>0</v>
      </c>
      <c r="L14" s="23">
        <v>0</v>
      </c>
      <c r="M14" s="23">
        <v>0</v>
      </c>
      <c r="N14" s="23">
        <f t="shared" si="3"/>
        <v>162339.25</v>
      </c>
      <c r="O14" s="23">
        <v>4702</v>
      </c>
      <c r="P14" s="23">
        <f t="shared" si="4"/>
        <v>188.53</v>
      </c>
      <c r="Q14" s="23">
        <f>'Форма 2'!K19</f>
        <v>426</v>
      </c>
      <c r="R14" s="25" t="s">
        <v>76</v>
      </c>
      <c r="S14" s="57">
        <v>1</v>
      </c>
    </row>
    <row r="15" spans="1:19" ht="15" customHeight="1">
      <c r="A15" s="44">
        <f t="shared" ref="A15:A16" si="7">A14+1</f>
        <v>5</v>
      </c>
      <c r="B15" s="46">
        <v>4564</v>
      </c>
      <c r="C15" s="26" t="s">
        <v>82</v>
      </c>
      <c r="D15" s="48">
        <v>1973</v>
      </c>
      <c r="E15" s="41" t="s">
        <v>86</v>
      </c>
      <c r="F15" s="48" t="s">
        <v>51</v>
      </c>
      <c r="G15" s="23">
        <v>4296.17</v>
      </c>
      <c r="H15" s="23">
        <v>3211.02</v>
      </c>
      <c r="I15" s="24">
        <v>109</v>
      </c>
      <c r="J15" s="23">
        <f>'Форма 2'!I21</f>
        <v>15798399.82</v>
      </c>
      <c r="K15" s="23">
        <v>0</v>
      </c>
      <c r="L15" s="23">
        <v>0</v>
      </c>
      <c r="M15" s="23">
        <v>0</v>
      </c>
      <c r="N15" s="23">
        <f>J15-K15-L15-M15-O15</f>
        <v>15489396.4</v>
      </c>
      <c r="O15" s="23">
        <v>309003.42</v>
      </c>
      <c r="P15" s="23">
        <f t="shared" si="4"/>
        <v>4920.0600000000004</v>
      </c>
      <c r="Q15" s="23">
        <f>'Форма 2'!K21</f>
        <v>5900</v>
      </c>
      <c r="R15" s="25" t="s">
        <v>76</v>
      </c>
      <c r="S15" s="57">
        <v>1</v>
      </c>
    </row>
    <row r="16" spans="1:19" ht="15" customHeight="1">
      <c r="A16" s="44">
        <f t="shared" si="7"/>
        <v>6</v>
      </c>
      <c r="B16" s="46">
        <v>4459</v>
      </c>
      <c r="C16" s="13" t="s">
        <v>81</v>
      </c>
      <c r="D16" s="48">
        <v>1966</v>
      </c>
      <c r="E16" s="48" t="s">
        <v>33</v>
      </c>
      <c r="F16" s="48" t="s">
        <v>97</v>
      </c>
      <c r="G16" s="23">
        <v>685.23</v>
      </c>
      <c r="H16" s="23">
        <v>631.03</v>
      </c>
      <c r="I16" s="24">
        <v>21</v>
      </c>
      <c r="J16" s="23">
        <f>'Форма 2'!I26</f>
        <v>2740061.12</v>
      </c>
      <c r="K16" s="23">
        <v>0</v>
      </c>
      <c r="L16" s="23">
        <v>0</v>
      </c>
      <c r="M16" s="23">
        <v>0</v>
      </c>
      <c r="N16" s="23">
        <f>J16-K16-L16-M16-O16</f>
        <v>2736712.24</v>
      </c>
      <c r="O16" s="23">
        <v>3348.88</v>
      </c>
      <c r="P16" s="23">
        <f t="shared" si="4"/>
        <v>4342.2</v>
      </c>
      <c r="Q16" s="23">
        <f>'Форма 2'!K26</f>
        <v>15710</v>
      </c>
      <c r="R16" s="25" t="s">
        <v>98</v>
      </c>
      <c r="S16" s="57">
        <v>1</v>
      </c>
    </row>
    <row r="17" spans="1:19">
      <c r="A17" s="74" t="s">
        <v>61</v>
      </c>
      <c r="B17" s="75"/>
      <c r="C17" s="76"/>
      <c r="D17" s="48" t="s">
        <v>13</v>
      </c>
      <c r="E17" s="48" t="s">
        <v>13</v>
      </c>
      <c r="F17" s="48" t="s">
        <v>13</v>
      </c>
      <c r="G17" s="23">
        <f t="shared" ref="G17:O17" si="8">SUM(G18:G35)</f>
        <v>12384.95</v>
      </c>
      <c r="H17" s="23">
        <f t="shared" si="8"/>
        <v>10641.37</v>
      </c>
      <c r="I17" s="38">
        <f t="shared" si="8"/>
        <v>388</v>
      </c>
      <c r="J17" s="23">
        <f>SUM(J18:J35)</f>
        <v>32781496.760000002</v>
      </c>
      <c r="K17" s="23">
        <f t="shared" si="8"/>
        <v>0</v>
      </c>
      <c r="L17" s="23">
        <f t="shared" si="8"/>
        <v>0</v>
      </c>
      <c r="M17" s="23">
        <f t="shared" si="8"/>
        <v>0</v>
      </c>
      <c r="N17" s="23">
        <f>SUM(N18:N35)</f>
        <v>32070360.289999999</v>
      </c>
      <c r="O17" s="23">
        <f t="shared" si="8"/>
        <v>711136.47</v>
      </c>
      <c r="P17" s="23" t="s">
        <v>13</v>
      </c>
      <c r="Q17" s="23" t="s">
        <v>13</v>
      </c>
      <c r="R17" s="23" t="s">
        <v>13</v>
      </c>
      <c r="S17" s="23" t="s">
        <v>13</v>
      </c>
    </row>
    <row r="18" spans="1:19">
      <c r="A18" s="50">
        <v>1</v>
      </c>
      <c r="B18" s="46">
        <v>4391</v>
      </c>
      <c r="C18" s="26" t="s">
        <v>84</v>
      </c>
      <c r="D18" s="48">
        <v>1966</v>
      </c>
      <c r="E18" s="48" t="s">
        <v>33</v>
      </c>
      <c r="F18" s="48" t="s">
        <v>96</v>
      </c>
      <c r="G18" s="23">
        <v>1070.4000000000001</v>
      </c>
      <c r="H18" s="23">
        <v>999.17</v>
      </c>
      <c r="I18" s="24">
        <v>33</v>
      </c>
      <c r="J18" s="29">
        <f>'Форма 2'!I30</f>
        <v>8213196.8600000003</v>
      </c>
      <c r="K18" s="23">
        <f>SUM(K20:K36)</f>
        <v>0</v>
      </c>
      <c r="L18" s="23">
        <f>SUM(L20:L36)</f>
        <v>0</v>
      </c>
      <c r="M18" s="23">
        <f>SUM(M20:M36)</f>
        <v>0</v>
      </c>
      <c r="N18" s="23">
        <f>J18-K18-L18-M18-O18</f>
        <v>8021965.0099999998</v>
      </c>
      <c r="O18" s="23">
        <v>191231.85</v>
      </c>
      <c r="P18" s="29">
        <f>J18/H18</f>
        <v>8220.02</v>
      </c>
      <c r="Q18" s="23">
        <f>'Форма 2'!K30</f>
        <v>18629</v>
      </c>
      <c r="R18" s="30">
        <v>2024</v>
      </c>
      <c r="S18" s="57">
        <v>1</v>
      </c>
    </row>
    <row r="19" spans="1:19" ht="14.25" customHeight="1">
      <c r="A19" s="44">
        <f>A18+1</f>
        <v>2</v>
      </c>
      <c r="B19" s="49">
        <v>4486</v>
      </c>
      <c r="C19" s="26" t="s">
        <v>93</v>
      </c>
      <c r="D19" s="27">
        <v>1963</v>
      </c>
      <c r="E19" s="48" t="s">
        <v>55</v>
      </c>
      <c r="F19" s="48" t="s">
        <v>51</v>
      </c>
      <c r="G19" s="28">
        <v>308.44</v>
      </c>
      <c r="H19" s="28">
        <v>304.31</v>
      </c>
      <c r="I19" s="24">
        <v>13</v>
      </c>
      <c r="J19" s="29">
        <f>'Форма 2'!I33</f>
        <v>1809858.09</v>
      </c>
      <c r="K19" s="23">
        <v>0</v>
      </c>
      <c r="L19" s="23">
        <v>0</v>
      </c>
      <c r="M19" s="23">
        <v>0</v>
      </c>
      <c r="N19" s="23">
        <f>J19-K19-L19-M19-O19</f>
        <v>1771782.77</v>
      </c>
      <c r="O19" s="23">
        <v>38075.32</v>
      </c>
      <c r="P19" s="29">
        <f>J19/H19</f>
        <v>5947.42</v>
      </c>
      <c r="Q19" s="23">
        <f>'Форма 2'!K33</f>
        <v>6005</v>
      </c>
      <c r="R19" s="30">
        <v>2024</v>
      </c>
      <c r="S19" s="57">
        <v>1</v>
      </c>
    </row>
    <row r="20" spans="1:19" ht="15" customHeight="1">
      <c r="A20" s="44">
        <f t="shared" ref="A20:A21" si="9">A19+1</f>
        <v>3</v>
      </c>
      <c r="B20" s="46">
        <v>4504</v>
      </c>
      <c r="C20" s="26" t="s">
        <v>70</v>
      </c>
      <c r="D20" s="48">
        <v>1962</v>
      </c>
      <c r="E20" s="48" t="s">
        <v>55</v>
      </c>
      <c r="F20" s="48" t="s">
        <v>50</v>
      </c>
      <c r="G20" s="23">
        <v>1413.1</v>
      </c>
      <c r="H20" s="23">
        <v>996.06</v>
      </c>
      <c r="I20" s="24">
        <v>34</v>
      </c>
      <c r="J20" s="29">
        <f>'Форма 2'!I38</f>
        <v>470140.32</v>
      </c>
      <c r="K20" s="23">
        <v>0</v>
      </c>
      <c r="L20" s="23">
        <v>0</v>
      </c>
      <c r="M20" s="23">
        <v>0</v>
      </c>
      <c r="N20" s="23">
        <f t="shared" ref="N20:N28" si="10">J20-K20-L20-M20-O20</f>
        <v>460249.63</v>
      </c>
      <c r="O20" s="23">
        <v>9890.69</v>
      </c>
      <c r="P20" s="29">
        <f t="shared" ref="P20:P34" si="11">J20/H20</f>
        <v>472</v>
      </c>
      <c r="Q20" s="23">
        <f>'Форма 2'!K38</f>
        <v>493</v>
      </c>
      <c r="R20" s="30">
        <v>2024</v>
      </c>
      <c r="S20" s="57">
        <v>1</v>
      </c>
    </row>
    <row r="21" spans="1:19" ht="15" customHeight="1">
      <c r="A21" s="44">
        <f t="shared" si="9"/>
        <v>4</v>
      </c>
      <c r="B21" s="46">
        <v>4507</v>
      </c>
      <c r="C21" s="26" t="s">
        <v>78</v>
      </c>
      <c r="D21" s="48">
        <v>1969</v>
      </c>
      <c r="E21" s="41" t="s">
        <v>77</v>
      </c>
      <c r="F21" s="48" t="s">
        <v>50</v>
      </c>
      <c r="G21" s="23">
        <v>944.64</v>
      </c>
      <c r="H21" s="23">
        <v>862.24</v>
      </c>
      <c r="I21" s="24">
        <v>34</v>
      </c>
      <c r="J21" s="23">
        <f>'Форма 2'!I41</f>
        <v>488027.84</v>
      </c>
      <c r="K21" s="23">
        <v>0</v>
      </c>
      <c r="L21" s="23">
        <v>0</v>
      </c>
      <c r="M21" s="23">
        <v>0</v>
      </c>
      <c r="N21" s="23">
        <f t="shared" si="10"/>
        <v>477760.84</v>
      </c>
      <c r="O21" s="32">
        <v>10267</v>
      </c>
      <c r="P21" s="51">
        <f t="shared" si="11"/>
        <v>566</v>
      </c>
      <c r="Q21" s="32">
        <f>'Форма 2'!K41</f>
        <v>590</v>
      </c>
      <c r="R21" s="30">
        <v>2024</v>
      </c>
      <c r="S21" s="57">
        <v>1</v>
      </c>
    </row>
    <row r="22" spans="1:19" ht="15" customHeight="1">
      <c r="A22" s="44">
        <f>A21+1</f>
        <v>5</v>
      </c>
      <c r="B22" s="46">
        <v>4607</v>
      </c>
      <c r="C22" s="13" t="s">
        <v>72</v>
      </c>
      <c r="D22" s="48">
        <v>1958</v>
      </c>
      <c r="E22" s="48" t="s">
        <v>79</v>
      </c>
      <c r="F22" s="48" t="s">
        <v>50</v>
      </c>
      <c r="G22" s="23">
        <v>343</v>
      </c>
      <c r="H22" s="23">
        <v>242.2</v>
      </c>
      <c r="I22" s="24">
        <v>20</v>
      </c>
      <c r="J22" s="23">
        <f>'Форма 2'!I45</f>
        <v>264799.68</v>
      </c>
      <c r="K22" s="23">
        <v>0</v>
      </c>
      <c r="L22" s="23">
        <v>0</v>
      </c>
      <c r="M22" s="23">
        <v>0</v>
      </c>
      <c r="N22" s="23">
        <f t="shared" si="10"/>
        <v>258965.51</v>
      </c>
      <c r="O22" s="23">
        <v>5834.17</v>
      </c>
      <c r="P22" s="23">
        <f t="shared" si="11"/>
        <v>1093.31</v>
      </c>
      <c r="Q22" s="23">
        <f>'Форма 2'!K45</f>
        <v>1145</v>
      </c>
      <c r="R22" s="30">
        <v>2024</v>
      </c>
      <c r="S22" s="57">
        <v>1</v>
      </c>
    </row>
    <row r="23" spans="1:19" ht="15" customHeight="1">
      <c r="A23" s="44">
        <f t="shared" ref="A23:A32" si="12">A22+1</f>
        <v>6</v>
      </c>
      <c r="B23" s="35">
        <v>4608</v>
      </c>
      <c r="C23" s="26" t="s">
        <v>66</v>
      </c>
      <c r="D23" s="48">
        <v>1950</v>
      </c>
      <c r="E23" s="48" t="s">
        <v>80</v>
      </c>
      <c r="F23" s="48" t="s">
        <v>50</v>
      </c>
      <c r="G23" s="23">
        <v>395</v>
      </c>
      <c r="H23" s="23">
        <v>330.3</v>
      </c>
      <c r="I23" s="24">
        <v>15</v>
      </c>
      <c r="J23" s="23">
        <f>'Форма 2'!I48</f>
        <v>148090</v>
      </c>
      <c r="K23" s="23">
        <v>0</v>
      </c>
      <c r="L23" s="23">
        <v>0</v>
      </c>
      <c r="M23" s="23">
        <v>0</v>
      </c>
      <c r="N23" s="23">
        <f t="shared" si="10"/>
        <v>144844.93</v>
      </c>
      <c r="O23" s="23">
        <v>3245.07</v>
      </c>
      <c r="P23" s="23">
        <f t="shared" si="11"/>
        <v>448.35</v>
      </c>
      <c r="Q23" s="23">
        <f>'Форма 2'!K48</f>
        <v>467</v>
      </c>
      <c r="R23" s="30">
        <v>2024</v>
      </c>
      <c r="S23" s="57">
        <v>1</v>
      </c>
    </row>
    <row r="24" spans="1:19" ht="15" customHeight="1">
      <c r="A24" s="44">
        <f t="shared" si="12"/>
        <v>7</v>
      </c>
      <c r="B24" s="35">
        <v>4550</v>
      </c>
      <c r="C24" s="42" t="s">
        <v>91</v>
      </c>
      <c r="D24" s="48">
        <v>1964</v>
      </c>
      <c r="E24" s="48" t="s">
        <v>55</v>
      </c>
      <c r="F24" s="48" t="s">
        <v>50</v>
      </c>
      <c r="G24" s="23">
        <v>1075.7</v>
      </c>
      <c r="H24" s="23">
        <v>1003.2</v>
      </c>
      <c r="I24" s="24">
        <v>41</v>
      </c>
      <c r="J24" s="23">
        <f>'Форма 2'!I50</f>
        <v>460468.8</v>
      </c>
      <c r="K24" s="23">
        <v>0</v>
      </c>
      <c r="L24" s="23">
        <v>0</v>
      </c>
      <c r="M24" s="23">
        <v>0</v>
      </c>
      <c r="N24" s="23">
        <f t="shared" si="10"/>
        <v>450781.58</v>
      </c>
      <c r="O24" s="23">
        <v>9687.2199999999993</v>
      </c>
      <c r="P24" s="23">
        <f t="shared" si="11"/>
        <v>459</v>
      </c>
      <c r="Q24" s="23">
        <f>'Форма 2'!K50</f>
        <v>480</v>
      </c>
      <c r="R24" s="30">
        <v>2024</v>
      </c>
      <c r="S24" s="57">
        <v>1</v>
      </c>
    </row>
    <row r="25" spans="1:19" ht="15" customHeight="1">
      <c r="A25" s="44">
        <f t="shared" si="12"/>
        <v>8</v>
      </c>
      <c r="B25" s="46">
        <v>4416</v>
      </c>
      <c r="C25" s="31" t="s">
        <v>67</v>
      </c>
      <c r="D25" s="48">
        <v>1962</v>
      </c>
      <c r="E25" s="48" t="s">
        <v>77</v>
      </c>
      <c r="F25" s="48" t="s">
        <v>50</v>
      </c>
      <c r="G25" s="23">
        <v>541.29999999999995</v>
      </c>
      <c r="H25" s="23">
        <v>486.7</v>
      </c>
      <c r="I25" s="24">
        <v>12</v>
      </c>
      <c r="J25" s="23">
        <f>'Форма 2'!I53</f>
        <v>276932.3</v>
      </c>
      <c r="K25" s="23">
        <v>0</v>
      </c>
      <c r="L25" s="23">
        <v>0</v>
      </c>
      <c r="M25" s="23">
        <v>0</v>
      </c>
      <c r="N25" s="23">
        <f t="shared" si="10"/>
        <v>272099.46000000002</v>
      </c>
      <c r="O25" s="23">
        <v>4832.84</v>
      </c>
      <c r="P25" s="23">
        <f t="shared" si="11"/>
        <v>569</v>
      </c>
      <c r="Q25" s="23">
        <f>'Форма 2'!K53</f>
        <v>590</v>
      </c>
      <c r="R25" s="30">
        <v>2024</v>
      </c>
      <c r="S25" s="57">
        <v>1</v>
      </c>
    </row>
    <row r="26" spans="1:19" ht="15" customHeight="1">
      <c r="A26" s="44">
        <f t="shared" si="12"/>
        <v>9</v>
      </c>
      <c r="B26" s="47">
        <v>4417</v>
      </c>
      <c r="C26" s="31" t="s">
        <v>71</v>
      </c>
      <c r="D26" s="47">
        <v>1962</v>
      </c>
      <c r="E26" s="48" t="s">
        <v>77</v>
      </c>
      <c r="F26" s="48" t="s">
        <v>50</v>
      </c>
      <c r="G26" s="10">
        <v>554.5</v>
      </c>
      <c r="H26" s="10">
        <v>495.73</v>
      </c>
      <c r="I26" s="24">
        <v>14</v>
      </c>
      <c r="J26" s="23">
        <f>'Форма 2'!I57</f>
        <v>282051.49</v>
      </c>
      <c r="K26" s="23">
        <v>0</v>
      </c>
      <c r="L26" s="23">
        <v>0</v>
      </c>
      <c r="M26" s="23">
        <v>0</v>
      </c>
      <c r="N26" s="23">
        <f t="shared" si="10"/>
        <v>277129.38</v>
      </c>
      <c r="O26" s="23">
        <v>4922.1099999999997</v>
      </c>
      <c r="P26" s="23">
        <f t="shared" si="11"/>
        <v>568.96</v>
      </c>
      <c r="Q26" s="23">
        <f>'Форма 2'!K57</f>
        <v>590</v>
      </c>
      <c r="R26" s="30">
        <v>2024</v>
      </c>
      <c r="S26" s="57">
        <v>1</v>
      </c>
    </row>
    <row r="27" spans="1:19" ht="15" customHeight="1">
      <c r="A27" s="44">
        <f t="shared" si="12"/>
        <v>10</v>
      </c>
      <c r="B27" s="43">
        <v>4418</v>
      </c>
      <c r="C27" s="31" t="s">
        <v>68</v>
      </c>
      <c r="D27" s="27">
        <v>1962</v>
      </c>
      <c r="E27" s="48" t="s">
        <v>77</v>
      </c>
      <c r="F27" s="48" t="s">
        <v>50</v>
      </c>
      <c r="G27" s="28">
        <v>546</v>
      </c>
      <c r="H27" s="28">
        <v>499.8</v>
      </c>
      <c r="I27" s="24">
        <v>16</v>
      </c>
      <c r="J27" s="23">
        <f>'Форма 2'!I61</f>
        <v>282167.8</v>
      </c>
      <c r="K27" s="23">
        <v>0</v>
      </c>
      <c r="L27" s="23">
        <v>0</v>
      </c>
      <c r="M27" s="23">
        <v>0</v>
      </c>
      <c r="N27" s="23">
        <f t="shared" si="10"/>
        <v>277251.55</v>
      </c>
      <c r="O27" s="23">
        <v>4916.25</v>
      </c>
      <c r="P27" s="23">
        <f t="shared" si="11"/>
        <v>564.55999999999995</v>
      </c>
      <c r="Q27" s="23">
        <f>'Форма 2'!K61</f>
        <v>590</v>
      </c>
      <c r="R27" s="30">
        <v>2024</v>
      </c>
      <c r="S27" s="57">
        <v>1</v>
      </c>
    </row>
    <row r="28" spans="1:19" ht="15" customHeight="1">
      <c r="A28" s="44">
        <f t="shared" si="12"/>
        <v>11</v>
      </c>
      <c r="B28" s="43">
        <v>4400</v>
      </c>
      <c r="C28" s="31" t="s">
        <v>65</v>
      </c>
      <c r="D28" s="48">
        <v>1964</v>
      </c>
      <c r="E28" s="41" t="s">
        <v>77</v>
      </c>
      <c r="F28" s="48" t="s">
        <v>50</v>
      </c>
      <c r="G28" s="23">
        <v>430.79</v>
      </c>
      <c r="H28" s="23">
        <v>390.28</v>
      </c>
      <c r="I28" s="24">
        <v>11</v>
      </c>
      <c r="J28" s="23">
        <f>'Форма 2'!I65</f>
        <v>220898.48</v>
      </c>
      <c r="K28" s="23">
        <v>0</v>
      </c>
      <c r="L28" s="23">
        <v>0</v>
      </c>
      <c r="M28" s="23">
        <v>0</v>
      </c>
      <c r="N28" s="23">
        <f t="shared" si="10"/>
        <v>216251.28</v>
      </c>
      <c r="O28" s="23">
        <v>4647.2</v>
      </c>
      <c r="P28" s="23">
        <f t="shared" si="11"/>
        <v>566</v>
      </c>
      <c r="Q28" s="23">
        <f>'Форма 2'!K65</f>
        <v>590</v>
      </c>
      <c r="R28" s="30">
        <v>2024</v>
      </c>
      <c r="S28" s="57">
        <v>1</v>
      </c>
    </row>
    <row r="29" spans="1:19">
      <c r="A29" s="44">
        <f>A28+1</f>
        <v>12</v>
      </c>
      <c r="B29" s="35">
        <v>4547</v>
      </c>
      <c r="C29" s="33" t="s">
        <v>63</v>
      </c>
      <c r="D29" s="48">
        <v>1971</v>
      </c>
      <c r="E29" s="41" t="s">
        <v>87</v>
      </c>
      <c r="F29" s="48" t="s">
        <v>50</v>
      </c>
      <c r="G29" s="23">
        <v>701.1</v>
      </c>
      <c r="H29" s="23">
        <v>500.8</v>
      </c>
      <c r="I29" s="24">
        <v>18</v>
      </c>
      <c r="J29" s="23">
        <f>'Форма 2'!I69</f>
        <v>236377.60000000001</v>
      </c>
      <c r="K29" s="23">
        <v>0</v>
      </c>
      <c r="L29" s="23">
        <v>0</v>
      </c>
      <c r="M29" s="23">
        <v>0</v>
      </c>
      <c r="N29" s="23">
        <f>J29-K29-L29-M29-O29</f>
        <v>231404.75</v>
      </c>
      <c r="O29" s="23">
        <v>4972.8500000000004</v>
      </c>
      <c r="P29" s="23">
        <f t="shared" si="11"/>
        <v>472</v>
      </c>
      <c r="Q29" s="23">
        <f>'Форма 2'!K69</f>
        <v>493</v>
      </c>
      <c r="R29" s="30">
        <v>2024</v>
      </c>
      <c r="S29" s="57">
        <v>1</v>
      </c>
    </row>
    <row r="30" spans="1:19" ht="15" customHeight="1">
      <c r="A30" s="44">
        <f t="shared" si="12"/>
        <v>13</v>
      </c>
      <c r="B30" s="35">
        <v>4548</v>
      </c>
      <c r="C30" s="33" t="s">
        <v>64</v>
      </c>
      <c r="D30" s="48">
        <v>1972</v>
      </c>
      <c r="E30" s="41" t="s">
        <v>55</v>
      </c>
      <c r="F30" s="48" t="s">
        <v>50</v>
      </c>
      <c r="G30" s="23">
        <v>715</v>
      </c>
      <c r="H30" s="23">
        <v>507.1</v>
      </c>
      <c r="I30" s="24">
        <v>15</v>
      </c>
      <c r="J30" s="23">
        <f>'Форма 2'!I72</f>
        <v>239351.2</v>
      </c>
      <c r="K30" s="23">
        <v>0</v>
      </c>
      <c r="L30" s="23">
        <v>0</v>
      </c>
      <c r="M30" s="23">
        <v>0</v>
      </c>
      <c r="N30" s="23">
        <f t="shared" ref="N30:N34" si="13">J30-K30-L30-M30-O30</f>
        <v>234315.79</v>
      </c>
      <c r="O30" s="23">
        <v>5035.41</v>
      </c>
      <c r="P30" s="23">
        <f t="shared" si="11"/>
        <v>472</v>
      </c>
      <c r="Q30" s="23">
        <f>'Форма 2'!K72</f>
        <v>493</v>
      </c>
      <c r="R30" s="30">
        <v>2024</v>
      </c>
      <c r="S30" s="57">
        <v>1</v>
      </c>
    </row>
    <row r="31" spans="1:19" ht="15" customHeight="1">
      <c r="A31" s="44">
        <f>A30+1</f>
        <v>14</v>
      </c>
      <c r="B31" s="43">
        <v>4591</v>
      </c>
      <c r="C31" s="26" t="s">
        <v>83</v>
      </c>
      <c r="D31" s="27">
        <v>1973</v>
      </c>
      <c r="E31" s="41" t="s">
        <v>33</v>
      </c>
      <c r="F31" s="48" t="s">
        <v>51</v>
      </c>
      <c r="G31" s="28">
        <v>967.3</v>
      </c>
      <c r="H31" s="28">
        <v>886</v>
      </c>
      <c r="I31" s="24">
        <v>31</v>
      </c>
      <c r="J31" s="23">
        <f>'Форма 2'!I75</f>
        <v>12478142.789999999</v>
      </c>
      <c r="K31" s="23">
        <v>0</v>
      </c>
      <c r="L31" s="23">
        <v>0</v>
      </c>
      <c r="M31" s="23">
        <v>0</v>
      </c>
      <c r="N31" s="23">
        <f t="shared" ref="N31:N32" si="14">J31-K31-L31-M31-O31</f>
        <v>12213096.9</v>
      </c>
      <c r="O31" s="23">
        <v>265045.89</v>
      </c>
      <c r="P31" s="23">
        <f t="shared" si="11"/>
        <v>14083.68</v>
      </c>
      <c r="Q31" s="23">
        <f>'Форма 2'!K75</f>
        <v>18629</v>
      </c>
      <c r="R31" s="30">
        <v>2024</v>
      </c>
      <c r="S31" s="57">
        <v>1</v>
      </c>
    </row>
    <row r="32" spans="1:19" ht="15" customHeight="1">
      <c r="A32" s="44">
        <f t="shared" si="12"/>
        <v>15</v>
      </c>
      <c r="B32" s="35">
        <v>4441</v>
      </c>
      <c r="C32" s="33" t="s">
        <v>88</v>
      </c>
      <c r="D32" s="48">
        <v>1969</v>
      </c>
      <c r="E32" s="41" t="s">
        <v>55</v>
      </c>
      <c r="F32" s="48" t="s">
        <v>50</v>
      </c>
      <c r="G32" s="23">
        <v>434.8</v>
      </c>
      <c r="H32" s="23">
        <v>355</v>
      </c>
      <c r="I32" s="24">
        <v>12</v>
      </c>
      <c r="J32" s="23">
        <f>'Форма 2'!I78</f>
        <v>167560</v>
      </c>
      <c r="K32" s="23">
        <v>0</v>
      </c>
      <c r="L32" s="23">
        <v>0</v>
      </c>
      <c r="M32" s="23">
        <v>0</v>
      </c>
      <c r="N32" s="23">
        <f t="shared" si="14"/>
        <v>164034.92000000001</v>
      </c>
      <c r="O32" s="23">
        <v>3525.08</v>
      </c>
      <c r="P32" s="23">
        <f t="shared" si="11"/>
        <v>472</v>
      </c>
      <c r="Q32" s="23">
        <f>'Форма 2'!K78</f>
        <v>493</v>
      </c>
      <c r="R32" s="30">
        <v>2024</v>
      </c>
      <c r="S32" s="57">
        <v>1</v>
      </c>
    </row>
    <row r="33" spans="1:19" ht="15" customHeight="1">
      <c r="A33" s="44">
        <f>A32+1</f>
        <v>16</v>
      </c>
      <c r="B33" s="35">
        <v>4530</v>
      </c>
      <c r="C33" s="33" t="s">
        <v>69</v>
      </c>
      <c r="D33" s="48">
        <v>1963</v>
      </c>
      <c r="E33" s="48" t="s">
        <v>55</v>
      </c>
      <c r="F33" s="48" t="s">
        <v>50</v>
      </c>
      <c r="G33" s="23">
        <v>324.39999999999998</v>
      </c>
      <c r="H33" s="23">
        <v>300.3</v>
      </c>
      <c r="I33" s="24">
        <v>14</v>
      </c>
      <c r="J33" s="23">
        <f>'Форма 2'!I81</f>
        <v>141741.6</v>
      </c>
      <c r="K33" s="23">
        <v>0</v>
      </c>
      <c r="L33" s="23">
        <v>0</v>
      </c>
      <c r="M33" s="23">
        <v>0</v>
      </c>
      <c r="N33" s="23">
        <f t="shared" si="13"/>
        <v>138759.67999999999</v>
      </c>
      <c r="O33" s="23">
        <v>2981.92</v>
      </c>
      <c r="P33" s="23">
        <f t="shared" si="11"/>
        <v>472</v>
      </c>
      <c r="Q33" s="23">
        <f>'Форма 2'!K81</f>
        <v>493</v>
      </c>
      <c r="R33" s="30">
        <v>2024</v>
      </c>
      <c r="S33" s="57">
        <v>1</v>
      </c>
    </row>
    <row r="34" spans="1:19" ht="15" customHeight="1">
      <c r="A34" s="44">
        <f>A33+1</f>
        <v>17</v>
      </c>
      <c r="B34" s="35">
        <v>4536</v>
      </c>
      <c r="C34" s="42" t="s">
        <v>73</v>
      </c>
      <c r="D34" s="48">
        <v>1971</v>
      </c>
      <c r="E34" s="41" t="s">
        <v>77</v>
      </c>
      <c r="F34" s="48" t="s">
        <v>50</v>
      </c>
      <c r="G34" s="23">
        <v>934.25</v>
      </c>
      <c r="H34" s="23">
        <v>851.15</v>
      </c>
      <c r="I34" s="24">
        <v>34</v>
      </c>
      <c r="J34" s="23">
        <f>'Форма 2'!I84</f>
        <v>481750.9</v>
      </c>
      <c r="K34" s="23">
        <v>0</v>
      </c>
      <c r="L34" s="23">
        <v>0</v>
      </c>
      <c r="M34" s="23">
        <v>0</v>
      </c>
      <c r="N34" s="23">
        <f t="shared" si="13"/>
        <v>471615.95</v>
      </c>
      <c r="O34" s="23">
        <v>10134.950000000001</v>
      </c>
      <c r="P34" s="23">
        <f t="shared" si="11"/>
        <v>566</v>
      </c>
      <c r="Q34" s="23">
        <f>'Форма 2'!K84</f>
        <v>590</v>
      </c>
      <c r="R34" s="30">
        <v>2024</v>
      </c>
      <c r="S34" s="57">
        <v>1</v>
      </c>
    </row>
    <row r="35" spans="1:19" ht="15" customHeight="1">
      <c r="A35" s="44">
        <f>A34+1</f>
        <v>18</v>
      </c>
      <c r="B35" s="46">
        <v>4459</v>
      </c>
      <c r="C35" s="13" t="s">
        <v>81</v>
      </c>
      <c r="D35" s="48">
        <v>1966</v>
      </c>
      <c r="E35" s="48" t="s">
        <v>33</v>
      </c>
      <c r="F35" s="48" t="s">
        <v>96</v>
      </c>
      <c r="G35" s="23">
        <v>685.23</v>
      </c>
      <c r="H35" s="23">
        <v>631.03</v>
      </c>
      <c r="I35" s="24">
        <v>21</v>
      </c>
      <c r="J35" s="23">
        <f>'Форма 2'!I88</f>
        <v>6119941.0099999998</v>
      </c>
      <c r="K35" s="23">
        <v>0</v>
      </c>
      <c r="L35" s="23">
        <v>0</v>
      </c>
      <c r="M35" s="23">
        <v>0</v>
      </c>
      <c r="N35" s="23">
        <f>J35-K35-L35-M35-O35</f>
        <v>5988050.3600000003</v>
      </c>
      <c r="O35" s="23">
        <v>131890.65</v>
      </c>
      <c r="P35" s="23">
        <f>J35/H35</f>
        <v>9698.34</v>
      </c>
      <c r="Q35" s="23">
        <f>'Форма 2'!K88</f>
        <v>18629</v>
      </c>
      <c r="R35" s="30">
        <v>2024</v>
      </c>
      <c r="S35" s="57">
        <v>1</v>
      </c>
    </row>
    <row r="36" spans="1:19">
      <c r="A36" s="74" t="s">
        <v>62</v>
      </c>
      <c r="B36" s="75"/>
      <c r="C36" s="76"/>
      <c r="D36" s="48" t="s">
        <v>13</v>
      </c>
      <c r="E36" s="48" t="s">
        <v>13</v>
      </c>
      <c r="F36" s="48" t="s">
        <v>13</v>
      </c>
      <c r="G36" s="23">
        <f t="shared" ref="G36:N36" si="15">SUM(G37:G53)</f>
        <v>12346.15</v>
      </c>
      <c r="H36" s="23">
        <f t="shared" si="15"/>
        <v>10271.39</v>
      </c>
      <c r="I36" s="38">
        <f t="shared" si="15"/>
        <v>372</v>
      </c>
      <c r="J36" s="23">
        <f t="shared" si="15"/>
        <v>62064386.049999997</v>
      </c>
      <c r="K36" s="23">
        <f t="shared" si="15"/>
        <v>0</v>
      </c>
      <c r="L36" s="23">
        <f t="shared" si="15"/>
        <v>0</v>
      </c>
      <c r="M36" s="23">
        <f t="shared" si="15"/>
        <v>0</v>
      </c>
      <c r="N36" s="23">
        <f t="shared" si="15"/>
        <v>62064386.049999997</v>
      </c>
      <c r="O36" s="23">
        <f t="shared" ref="O36" si="16">SUM(O37:O53)</f>
        <v>0</v>
      </c>
      <c r="P36" s="23" t="s">
        <v>13</v>
      </c>
      <c r="Q36" s="23" t="s">
        <v>13</v>
      </c>
      <c r="R36" s="23" t="s">
        <v>13</v>
      </c>
      <c r="S36" s="23" t="s">
        <v>13</v>
      </c>
    </row>
    <row r="37" spans="1:19">
      <c r="A37" s="44">
        <v>1</v>
      </c>
      <c r="B37" s="35">
        <v>4593</v>
      </c>
      <c r="C37" s="33" t="s">
        <v>99</v>
      </c>
      <c r="D37" s="48">
        <v>1966</v>
      </c>
      <c r="E37" s="48" t="s">
        <v>33</v>
      </c>
      <c r="F37" s="48" t="s">
        <v>50</v>
      </c>
      <c r="G37" s="23">
        <v>1048.05</v>
      </c>
      <c r="H37" s="23">
        <v>977.75</v>
      </c>
      <c r="I37" s="24">
        <v>27</v>
      </c>
      <c r="J37" s="23">
        <f>'Форма 2'!I92</f>
        <v>433143.25</v>
      </c>
      <c r="K37" s="23">
        <v>0</v>
      </c>
      <c r="L37" s="23">
        <v>0</v>
      </c>
      <c r="M37" s="23">
        <v>0</v>
      </c>
      <c r="N37" s="23">
        <f>J37-K37-L37-M37-O37</f>
        <v>433143.25</v>
      </c>
      <c r="O37" s="23">
        <v>0</v>
      </c>
      <c r="P37" s="23">
        <f>J37/H37</f>
        <v>443</v>
      </c>
      <c r="Q37" s="23">
        <f>'Форма 2'!K92</f>
        <v>443</v>
      </c>
      <c r="R37" s="30">
        <v>2025</v>
      </c>
      <c r="S37" s="57">
        <v>1</v>
      </c>
    </row>
    <row r="38" spans="1:19" ht="15" customHeight="1">
      <c r="A38" s="44">
        <f>A37+1</f>
        <v>2</v>
      </c>
      <c r="B38" s="46">
        <v>4504</v>
      </c>
      <c r="C38" s="26" t="s">
        <v>70</v>
      </c>
      <c r="D38" s="48">
        <v>1962</v>
      </c>
      <c r="E38" s="48" t="s">
        <v>55</v>
      </c>
      <c r="F38" s="48" t="s">
        <v>51</v>
      </c>
      <c r="G38" s="23">
        <v>1413.1</v>
      </c>
      <c r="H38" s="23">
        <v>996.06</v>
      </c>
      <c r="I38" s="24">
        <v>34</v>
      </c>
      <c r="J38" s="23">
        <f>'Форма 2'!I94</f>
        <v>5981340.2999999998</v>
      </c>
      <c r="K38" s="23">
        <v>0</v>
      </c>
      <c r="L38" s="23">
        <v>0</v>
      </c>
      <c r="M38" s="23">
        <v>0</v>
      </c>
      <c r="N38" s="23">
        <f>J38-K38-L38-M38-O38</f>
        <v>5981340.2999999998</v>
      </c>
      <c r="O38" s="23">
        <v>0</v>
      </c>
      <c r="P38" s="23">
        <f>J38/H38</f>
        <v>6005</v>
      </c>
      <c r="Q38" s="23">
        <f>'Форма 2'!K94</f>
        <v>6005</v>
      </c>
      <c r="R38" s="30">
        <v>2025</v>
      </c>
      <c r="S38" s="57">
        <v>1</v>
      </c>
    </row>
    <row r="39" spans="1:19" ht="15" customHeight="1">
      <c r="A39" s="44">
        <f t="shared" ref="A39:A53" si="17">A38+1</f>
        <v>3</v>
      </c>
      <c r="B39" s="46">
        <v>4507</v>
      </c>
      <c r="C39" s="26" t="s">
        <v>78</v>
      </c>
      <c r="D39" s="48">
        <v>1969</v>
      </c>
      <c r="E39" s="41" t="s">
        <v>77</v>
      </c>
      <c r="F39" s="48" t="s">
        <v>51</v>
      </c>
      <c r="G39" s="23">
        <v>944.64</v>
      </c>
      <c r="H39" s="23">
        <v>862.24</v>
      </c>
      <c r="I39" s="24">
        <v>34</v>
      </c>
      <c r="J39" s="23">
        <f>'Форма 2'!I99</f>
        <v>6905680.1600000001</v>
      </c>
      <c r="K39" s="23">
        <v>0</v>
      </c>
      <c r="L39" s="23">
        <v>0</v>
      </c>
      <c r="M39" s="23">
        <v>0</v>
      </c>
      <c r="N39" s="23">
        <f t="shared" ref="N39:N45" si="18">J39-K39-L39-M39-O39</f>
        <v>6905680.1600000001</v>
      </c>
      <c r="O39" s="23">
        <v>0</v>
      </c>
      <c r="P39" s="23">
        <f t="shared" ref="P39:P53" si="19">J39/H39</f>
        <v>8009</v>
      </c>
      <c r="Q39" s="23">
        <f>'Форма 2'!K99</f>
        <v>8009</v>
      </c>
      <c r="R39" s="30">
        <v>2025</v>
      </c>
      <c r="S39" s="57">
        <v>1</v>
      </c>
    </row>
    <row r="40" spans="1:19" ht="15" customHeight="1">
      <c r="A40" s="44">
        <f t="shared" si="17"/>
        <v>4</v>
      </c>
      <c r="B40" s="35">
        <v>4407</v>
      </c>
      <c r="C40" s="33" t="s">
        <v>103</v>
      </c>
      <c r="D40" s="48">
        <v>1975</v>
      </c>
      <c r="E40" s="41" t="s">
        <v>77</v>
      </c>
      <c r="F40" s="48" t="s">
        <v>50</v>
      </c>
      <c r="G40" s="23">
        <v>1522.7</v>
      </c>
      <c r="H40" s="23">
        <v>1089.2</v>
      </c>
      <c r="I40" s="24">
        <v>42</v>
      </c>
      <c r="J40" s="23">
        <f>'Форма 2'!I106</f>
        <v>615398</v>
      </c>
      <c r="K40" s="23">
        <v>0</v>
      </c>
      <c r="L40" s="23">
        <v>0</v>
      </c>
      <c r="M40" s="23">
        <v>0</v>
      </c>
      <c r="N40" s="23">
        <f>J40-K40-L40-M40-O40</f>
        <v>615398</v>
      </c>
      <c r="O40" s="23">
        <v>0</v>
      </c>
      <c r="P40" s="23">
        <f>J40/H40</f>
        <v>565</v>
      </c>
      <c r="Q40" s="23">
        <f>'Форма 2'!K106</f>
        <v>565</v>
      </c>
      <c r="R40" s="30">
        <v>2025</v>
      </c>
      <c r="S40" s="57">
        <v>1</v>
      </c>
    </row>
    <row r="41" spans="1:19" ht="15" customHeight="1">
      <c r="A41" s="44">
        <f t="shared" si="17"/>
        <v>5</v>
      </c>
      <c r="B41" s="46">
        <v>4607</v>
      </c>
      <c r="C41" s="13" t="s">
        <v>72</v>
      </c>
      <c r="D41" s="48">
        <v>1958</v>
      </c>
      <c r="E41" s="48" t="s">
        <v>79</v>
      </c>
      <c r="F41" s="48" t="s">
        <v>51</v>
      </c>
      <c r="G41" s="23">
        <v>343</v>
      </c>
      <c r="H41" s="23">
        <v>242.2</v>
      </c>
      <c r="I41" s="24">
        <v>20</v>
      </c>
      <c r="J41" s="23">
        <f>'Форма 2'!I110</f>
        <v>6325295.2000000002</v>
      </c>
      <c r="K41" s="23">
        <v>0</v>
      </c>
      <c r="L41" s="23">
        <v>0</v>
      </c>
      <c r="M41" s="23">
        <v>0</v>
      </c>
      <c r="N41" s="23">
        <f t="shared" si="18"/>
        <v>6325295.2000000002</v>
      </c>
      <c r="O41" s="23">
        <v>0</v>
      </c>
      <c r="P41" s="23">
        <f t="shared" si="19"/>
        <v>26116</v>
      </c>
      <c r="Q41" s="23">
        <f>'Форма 2'!K110</f>
        <v>26116</v>
      </c>
      <c r="R41" s="30">
        <v>2025</v>
      </c>
      <c r="S41" s="57">
        <v>1</v>
      </c>
    </row>
    <row r="42" spans="1:19" ht="15" customHeight="1">
      <c r="A42" s="44">
        <f t="shared" si="17"/>
        <v>6</v>
      </c>
      <c r="B42" s="35">
        <v>4608</v>
      </c>
      <c r="C42" s="26" t="s">
        <v>66</v>
      </c>
      <c r="D42" s="48">
        <v>1950</v>
      </c>
      <c r="E42" s="48" t="s">
        <v>80</v>
      </c>
      <c r="F42" s="48" t="s">
        <v>51</v>
      </c>
      <c r="G42" s="23">
        <v>395</v>
      </c>
      <c r="H42" s="23">
        <v>330.3</v>
      </c>
      <c r="I42" s="24">
        <v>15</v>
      </c>
      <c r="J42" s="23">
        <f>'Форма 2'!I115</f>
        <v>6153158.7000000002</v>
      </c>
      <c r="K42" s="23">
        <v>0</v>
      </c>
      <c r="L42" s="23">
        <v>0</v>
      </c>
      <c r="M42" s="23">
        <v>0</v>
      </c>
      <c r="N42" s="23">
        <f t="shared" si="18"/>
        <v>6153158.7000000002</v>
      </c>
      <c r="O42" s="23">
        <v>0</v>
      </c>
      <c r="P42" s="23">
        <f t="shared" si="19"/>
        <v>18629</v>
      </c>
      <c r="Q42" s="23">
        <f>'Форма 2'!K115</f>
        <v>18629</v>
      </c>
      <c r="R42" s="30">
        <v>2025</v>
      </c>
      <c r="S42" s="57">
        <v>1</v>
      </c>
    </row>
    <row r="43" spans="1:19" ht="15" customHeight="1">
      <c r="A43" s="44">
        <f t="shared" si="17"/>
        <v>7</v>
      </c>
      <c r="B43" s="35">
        <v>4550</v>
      </c>
      <c r="C43" s="42" t="s">
        <v>91</v>
      </c>
      <c r="D43" s="48">
        <v>1964</v>
      </c>
      <c r="E43" s="48" t="s">
        <v>55</v>
      </c>
      <c r="F43" s="48" t="s">
        <v>51</v>
      </c>
      <c r="G43" s="23">
        <v>1075.7</v>
      </c>
      <c r="H43" s="23">
        <v>1003.2</v>
      </c>
      <c r="I43" s="24">
        <v>41</v>
      </c>
      <c r="J43" s="29">
        <f>'Форма 2'!I118</f>
        <v>5354078.4000000004</v>
      </c>
      <c r="K43" s="23">
        <v>0</v>
      </c>
      <c r="L43" s="23">
        <v>0</v>
      </c>
      <c r="M43" s="23">
        <v>0</v>
      </c>
      <c r="N43" s="23">
        <f t="shared" si="18"/>
        <v>5354078.4000000004</v>
      </c>
      <c r="O43" s="23">
        <v>0</v>
      </c>
      <c r="P43" s="29">
        <f t="shared" si="19"/>
        <v>5337</v>
      </c>
      <c r="Q43" s="23">
        <f>'Форма 2'!K118</f>
        <v>5337</v>
      </c>
      <c r="R43" s="30">
        <v>2025</v>
      </c>
      <c r="S43" s="57">
        <v>1</v>
      </c>
    </row>
    <row r="44" spans="1:19" ht="15" customHeight="1">
      <c r="A44" s="44">
        <f t="shared" si="17"/>
        <v>8</v>
      </c>
      <c r="B44" s="46">
        <v>4416</v>
      </c>
      <c r="C44" s="31" t="s">
        <v>67</v>
      </c>
      <c r="D44" s="48">
        <v>1962</v>
      </c>
      <c r="E44" s="48" t="s">
        <v>77</v>
      </c>
      <c r="F44" s="48" t="s">
        <v>51</v>
      </c>
      <c r="G44" s="23">
        <v>541.29999999999995</v>
      </c>
      <c r="H44" s="23">
        <v>486.7</v>
      </c>
      <c r="I44" s="24">
        <v>12</v>
      </c>
      <c r="J44" s="29">
        <f>'Форма 2'!I123</f>
        <v>3897980.3</v>
      </c>
      <c r="K44" s="23">
        <v>0</v>
      </c>
      <c r="L44" s="23">
        <v>0</v>
      </c>
      <c r="M44" s="23">
        <v>0</v>
      </c>
      <c r="N44" s="23">
        <f t="shared" si="18"/>
        <v>3897980.3</v>
      </c>
      <c r="O44" s="23">
        <v>0</v>
      </c>
      <c r="P44" s="29">
        <f t="shared" si="19"/>
        <v>8009</v>
      </c>
      <c r="Q44" s="23">
        <f>'Форма 2'!K123</f>
        <v>8009</v>
      </c>
      <c r="R44" s="30">
        <v>2025</v>
      </c>
      <c r="S44" s="57">
        <v>1</v>
      </c>
    </row>
    <row r="45" spans="1:19" ht="15" customHeight="1">
      <c r="A45" s="44">
        <f t="shared" si="17"/>
        <v>9</v>
      </c>
      <c r="B45" s="47">
        <v>4417</v>
      </c>
      <c r="C45" s="31" t="s">
        <v>71</v>
      </c>
      <c r="D45" s="47">
        <v>1962</v>
      </c>
      <c r="E45" s="48" t="s">
        <v>77</v>
      </c>
      <c r="F45" s="48" t="s">
        <v>51</v>
      </c>
      <c r="G45" s="10">
        <v>554.5</v>
      </c>
      <c r="H45" s="10">
        <v>495.73</v>
      </c>
      <c r="I45" s="24">
        <v>14</v>
      </c>
      <c r="J45" s="23">
        <f>'Форма 2'!I130</f>
        <v>3970301.57</v>
      </c>
      <c r="K45" s="23">
        <v>0</v>
      </c>
      <c r="L45" s="23">
        <v>0</v>
      </c>
      <c r="M45" s="23">
        <v>0</v>
      </c>
      <c r="N45" s="23">
        <f t="shared" si="18"/>
        <v>3970301.57</v>
      </c>
      <c r="O45" s="23">
        <v>0</v>
      </c>
      <c r="P45" s="23">
        <f t="shared" si="19"/>
        <v>8009</v>
      </c>
      <c r="Q45" s="23">
        <f>'Форма 2'!K130</f>
        <v>8009</v>
      </c>
      <c r="R45" s="30">
        <v>2025</v>
      </c>
      <c r="S45" s="57">
        <v>1</v>
      </c>
    </row>
    <row r="46" spans="1:19" ht="15" customHeight="1">
      <c r="A46" s="44">
        <f t="shared" si="17"/>
        <v>10</v>
      </c>
      <c r="B46" s="43">
        <v>4418</v>
      </c>
      <c r="C46" s="31" t="s">
        <v>68</v>
      </c>
      <c r="D46" s="27">
        <v>1962</v>
      </c>
      <c r="E46" s="48" t="s">
        <v>77</v>
      </c>
      <c r="F46" s="48" t="s">
        <v>51</v>
      </c>
      <c r="G46" s="28">
        <v>546</v>
      </c>
      <c r="H46" s="28">
        <v>499.8</v>
      </c>
      <c r="I46" s="24">
        <v>16</v>
      </c>
      <c r="J46" s="23">
        <f>'Форма 2'!I137</f>
        <v>4002898.2</v>
      </c>
      <c r="K46" s="23">
        <v>0</v>
      </c>
      <c r="L46" s="23">
        <v>0</v>
      </c>
      <c r="M46" s="23">
        <v>0</v>
      </c>
      <c r="N46" s="23">
        <f>J46-K46-L46-M46-O46</f>
        <v>4002898.2</v>
      </c>
      <c r="O46" s="23">
        <v>0</v>
      </c>
      <c r="P46" s="23">
        <f t="shared" si="19"/>
        <v>8009</v>
      </c>
      <c r="Q46" s="23">
        <f>'Форма 2'!K137</f>
        <v>8009</v>
      </c>
      <c r="R46" s="30">
        <v>2025</v>
      </c>
      <c r="S46" s="57">
        <v>1</v>
      </c>
    </row>
    <row r="47" spans="1:19" ht="15" customHeight="1">
      <c r="A47" s="44">
        <f t="shared" si="17"/>
        <v>11</v>
      </c>
      <c r="B47" s="43">
        <v>4400</v>
      </c>
      <c r="C47" s="31" t="s">
        <v>65</v>
      </c>
      <c r="D47" s="48">
        <v>1964</v>
      </c>
      <c r="E47" s="41" t="s">
        <v>77</v>
      </c>
      <c r="F47" s="48" t="s">
        <v>51</v>
      </c>
      <c r="G47" s="23">
        <v>430.79</v>
      </c>
      <c r="H47" s="23">
        <v>390.28</v>
      </c>
      <c r="I47" s="24">
        <v>11</v>
      </c>
      <c r="J47" s="29">
        <f>'Форма 2'!I144</f>
        <v>3125752.52</v>
      </c>
      <c r="K47" s="23">
        <v>0</v>
      </c>
      <c r="L47" s="23">
        <v>0</v>
      </c>
      <c r="M47" s="23">
        <v>0</v>
      </c>
      <c r="N47" s="23">
        <f>J47-K47-L47-M47-O47</f>
        <v>3125752.52</v>
      </c>
      <c r="O47" s="23">
        <v>0</v>
      </c>
      <c r="P47" s="29">
        <f t="shared" si="19"/>
        <v>8009</v>
      </c>
      <c r="Q47" s="23">
        <f>'Форма 2'!K144</f>
        <v>8009</v>
      </c>
      <c r="R47" s="30">
        <v>2025</v>
      </c>
      <c r="S47" s="57">
        <v>1</v>
      </c>
    </row>
    <row r="48" spans="1:19" ht="15" customHeight="1">
      <c r="A48" s="44">
        <f t="shared" si="17"/>
        <v>12</v>
      </c>
      <c r="B48" s="35">
        <v>4547</v>
      </c>
      <c r="C48" s="33" t="s">
        <v>63</v>
      </c>
      <c r="D48" s="48">
        <v>1971</v>
      </c>
      <c r="E48" s="41" t="s">
        <v>55</v>
      </c>
      <c r="F48" s="48" t="s">
        <v>51</v>
      </c>
      <c r="G48" s="23">
        <v>701.1</v>
      </c>
      <c r="H48" s="23">
        <v>500.8</v>
      </c>
      <c r="I48" s="24">
        <v>18</v>
      </c>
      <c r="J48" s="29">
        <f>'Форма 2'!I151</f>
        <v>3007304</v>
      </c>
      <c r="K48" s="23">
        <v>0</v>
      </c>
      <c r="L48" s="23">
        <v>0</v>
      </c>
      <c r="M48" s="23">
        <v>0</v>
      </c>
      <c r="N48" s="23">
        <f t="shared" ref="N48:N50" si="20">J48-K48-L48-M48-O48</f>
        <v>3007304</v>
      </c>
      <c r="O48" s="23">
        <v>0</v>
      </c>
      <c r="P48" s="29">
        <f t="shared" si="19"/>
        <v>6005</v>
      </c>
      <c r="Q48" s="23">
        <f>'Форма 2'!K151</f>
        <v>6005</v>
      </c>
      <c r="R48" s="30">
        <v>2025</v>
      </c>
      <c r="S48" s="57">
        <v>1</v>
      </c>
    </row>
    <row r="49" spans="1:19" ht="15" customHeight="1">
      <c r="A49" s="44">
        <f t="shared" si="17"/>
        <v>13</v>
      </c>
      <c r="B49" s="35">
        <v>4548</v>
      </c>
      <c r="C49" s="33" t="s">
        <v>64</v>
      </c>
      <c r="D49" s="48">
        <v>1972</v>
      </c>
      <c r="E49" s="41" t="s">
        <v>87</v>
      </c>
      <c r="F49" s="48" t="s">
        <v>51</v>
      </c>
      <c r="G49" s="23">
        <v>715</v>
      </c>
      <c r="H49" s="23">
        <v>507.1</v>
      </c>
      <c r="I49" s="24">
        <v>15</v>
      </c>
      <c r="J49" s="23">
        <f>'Форма 2'!I156</f>
        <v>3045135.5</v>
      </c>
      <c r="K49" s="23">
        <v>0</v>
      </c>
      <c r="L49" s="23">
        <v>0</v>
      </c>
      <c r="M49" s="23">
        <v>0</v>
      </c>
      <c r="N49" s="23">
        <f t="shared" si="20"/>
        <v>3045135.5</v>
      </c>
      <c r="O49" s="23">
        <v>0</v>
      </c>
      <c r="P49" s="23">
        <f t="shared" si="19"/>
        <v>6005</v>
      </c>
      <c r="Q49" s="23">
        <f>'Форма 2'!K156</f>
        <v>6005</v>
      </c>
      <c r="R49" s="30">
        <v>2025</v>
      </c>
      <c r="S49" s="57">
        <v>1</v>
      </c>
    </row>
    <row r="50" spans="1:19" ht="15" customHeight="1">
      <c r="A50" s="44">
        <f t="shared" si="17"/>
        <v>14</v>
      </c>
      <c r="B50" s="35">
        <v>4441</v>
      </c>
      <c r="C50" s="33" t="s">
        <v>88</v>
      </c>
      <c r="D50" s="48">
        <v>1969</v>
      </c>
      <c r="E50" s="41" t="s">
        <v>55</v>
      </c>
      <c r="F50" s="48" t="s">
        <v>51</v>
      </c>
      <c r="G50" s="23">
        <v>434.8</v>
      </c>
      <c r="H50" s="23">
        <v>355</v>
      </c>
      <c r="I50" s="24">
        <v>12</v>
      </c>
      <c r="J50" s="23">
        <f>'Форма 2'!I161</f>
        <v>2131775</v>
      </c>
      <c r="K50" s="23">
        <v>0</v>
      </c>
      <c r="L50" s="23">
        <v>0</v>
      </c>
      <c r="M50" s="23">
        <v>0</v>
      </c>
      <c r="N50" s="23">
        <f t="shared" si="20"/>
        <v>2131775</v>
      </c>
      <c r="O50" s="23">
        <v>0</v>
      </c>
      <c r="P50" s="23">
        <f t="shared" si="19"/>
        <v>6005</v>
      </c>
      <c r="Q50" s="23">
        <f>'Форма 2'!K161</f>
        <v>6005</v>
      </c>
      <c r="R50" s="30">
        <v>2025</v>
      </c>
      <c r="S50" s="57">
        <v>1</v>
      </c>
    </row>
    <row r="51" spans="1:19">
      <c r="A51" s="44">
        <f t="shared" si="17"/>
        <v>15</v>
      </c>
      <c r="B51" s="35">
        <v>4530</v>
      </c>
      <c r="C51" s="33" t="s">
        <v>69</v>
      </c>
      <c r="D51" s="48">
        <v>1963</v>
      </c>
      <c r="E51" s="48" t="s">
        <v>55</v>
      </c>
      <c r="F51" s="48" t="s">
        <v>51</v>
      </c>
      <c r="G51" s="23">
        <v>324.39999999999998</v>
      </c>
      <c r="H51" s="23">
        <v>300.3</v>
      </c>
      <c r="I51" s="24">
        <v>14</v>
      </c>
      <c r="J51" s="23">
        <f>'Форма 2'!I166</f>
        <v>1803301.5</v>
      </c>
      <c r="K51" s="23">
        <v>0</v>
      </c>
      <c r="L51" s="23">
        <v>0</v>
      </c>
      <c r="M51" s="23">
        <v>0</v>
      </c>
      <c r="N51" s="23">
        <f>J51-K51-L51-M51-O51</f>
        <v>1803301.5</v>
      </c>
      <c r="O51" s="23">
        <v>0</v>
      </c>
      <c r="P51" s="23">
        <f t="shared" si="19"/>
        <v>6005</v>
      </c>
      <c r="Q51" s="23">
        <f>'Форма 2'!K166</f>
        <v>6005</v>
      </c>
      <c r="R51" s="30">
        <v>2025</v>
      </c>
      <c r="S51" s="57">
        <v>1</v>
      </c>
    </row>
    <row r="52" spans="1:19">
      <c r="A52" s="44">
        <f t="shared" si="17"/>
        <v>16</v>
      </c>
      <c r="B52" s="35">
        <v>4549</v>
      </c>
      <c r="C52" s="33" t="s">
        <v>102</v>
      </c>
      <c r="D52" s="48">
        <v>1964</v>
      </c>
      <c r="E52" s="48" t="s">
        <v>101</v>
      </c>
      <c r="F52" s="48" t="s">
        <v>50</v>
      </c>
      <c r="G52" s="23">
        <v>421.82</v>
      </c>
      <c r="H52" s="23">
        <v>383.58</v>
      </c>
      <c r="I52" s="24">
        <v>13</v>
      </c>
      <c r="J52" s="23">
        <f>'Форма 2'!I171</f>
        <v>164939.4</v>
      </c>
      <c r="K52" s="23">
        <v>0</v>
      </c>
      <c r="L52" s="23">
        <v>0</v>
      </c>
      <c r="M52" s="23">
        <v>0</v>
      </c>
      <c r="N52" s="23">
        <f>J52-K52-L52-M52-O52</f>
        <v>164939.4</v>
      </c>
      <c r="O52" s="23">
        <v>0</v>
      </c>
      <c r="P52" s="23">
        <f>J52/H52</f>
        <v>430</v>
      </c>
      <c r="Q52" s="23">
        <f>'Форма 2'!K171</f>
        <v>430</v>
      </c>
      <c r="R52" s="30">
        <v>2025</v>
      </c>
      <c r="S52" s="57">
        <v>1</v>
      </c>
    </row>
    <row r="53" spans="1:19" ht="15" customHeight="1">
      <c r="A53" s="47">
        <f t="shared" si="17"/>
        <v>17</v>
      </c>
      <c r="B53" s="46">
        <v>4536</v>
      </c>
      <c r="C53" s="33" t="s">
        <v>73</v>
      </c>
      <c r="D53" s="48">
        <v>1971</v>
      </c>
      <c r="E53" s="41" t="s">
        <v>77</v>
      </c>
      <c r="F53" s="48" t="s">
        <v>51</v>
      </c>
      <c r="G53" s="23">
        <v>934.25</v>
      </c>
      <c r="H53" s="23">
        <v>851.15</v>
      </c>
      <c r="I53" s="24">
        <v>34</v>
      </c>
      <c r="J53" s="23">
        <f>'Форма 2'!I174</f>
        <v>5146904.05</v>
      </c>
      <c r="K53" s="23">
        <v>0</v>
      </c>
      <c r="L53" s="23">
        <v>0</v>
      </c>
      <c r="M53" s="23">
        <v>0</v>
      </c>
      <c r="N53" s="23">
        <f t="shared" ref="N53" si="21">J53-K53-L53-M53-O53</f>
        <v>5146904.05</v>
      </c>
      <c r="O53" s="23">
        <v>0</v>
      </c>
      <c r="P53" s="23">
        <f t="shared" si="19"/>
        <v>6047</v>
      </c>
      <c r="Q53" s="23">
        <f>'Форма 2'!K174</f>
        <v>8009</v>
      </c>
      <c r="R53" s="30">
        <v>2025</v>
      </c>
      <c r="S53" s="57">
        <v>1</v>
      </c>
    </row>
  </sheetData>
  <autoFilter ref="A8:S53"/>
  <customSheetViews>
    <customSheetView guid="{114D0552-1D3C-4C9A-AF28-55BD1176DD7C}" scale="80" showPageBreaks="1" fitToPage="1" printArea="1" showAutoFilter="1" view="pageBreakPreview" topLeftCell="A28">
      <selection activeCell="A52" sqref="A52:IV52"/>
      <pageMargins left="0.19685039370078741" right="0.19685039370078741" top="0.78740157480314965" bottom="0.39370078740157483" header="0.31496062992125984" footer="0.31496062992125984"/>
      <printOptions horizontalCentered="1"/>
      <pageSetup paperSize="9" scale="46" fitToHeight="0" orientation="landscape" r:id="rId1"/>
      <autoFilter ref="B1:Z1"/>
    </customSheetView>
    <customSheetView guid="{CC3EEC02-30D2-4905-AE21-71EA71520321}" scale="80" showPageBreaks="1" fitToPage="1" filter="1" showAutoFilter="1" view="pageBreakPreview" topLeftCell="A97">
      <selection activeCell="U113" sqref="U113"/>
      <pageMargins left="0.19685039370078741" right="0.19685039370078741" top="0.78740157480314965" bottom="0.39370078740157483" header="0.31496062992125984" footer="0.31496062992125984"/>
      <printOptions horizontalCentered="1"/>
      <pageSetup paperSize="9" scale="44" fitToHeight="0" orientation="landscape" r:id="rId2"/>
      <autoFilter ref="B1:Y1">
        <filterColumn colId="7">
          <filters>
            <filter val="Х"/>
          </filters>
        </filterColumn>
      </autoFilter>
    </customSheetView>
    <customSheetView guid="{3511D8A4-2A8D-4563-8DF1-C381EEDBF68F}" scale="80" showPageBreaks="1" fitToPage="1" printArea="1" filter="1" showAutoFilter="1" view="pageBreakPreview">
      <selection activeCell="B4" sqref="A4:M65"/>
      <pageMargins left="0.19685039370078741" right="0.19685039370078741" top="0.78740157480314965" bottom="0.39370078740157483" header="0.31496062992125984" footer="0.31496062992125984"/>
      <printOptions horizontalCentered="1"/>
      <pageSetup paperSize="9" scale="47" fitToHeight="0" orientation="landscape" r:id="rId3"/>
      <autoFilter ref="B1:Y1">
        <filterColumn colId="7">
          <filters>
            <filter val="Х"/>
          </filters>
        </filterColumn>
      </autoFilter>
    </customSheetView>
  </customSheetViews>
  <mergeCells count="23">
    <mergeCell ref="N1:R1"/>
    <mergeCell ref="G4:G6"/>
    <mergeCell ref="C4:C7"/>
    <mergeCell ref="H4:H6"/>
    <mergeCell ref="R4:R7"/>
    <mergeCell ref="A2:R2"/>
    <mergeCell ref="A3:R3"/>
    <mergeCell ref="I4:I6"/>
    <mergeCell ref="B4:B7"/>
    <mergeCell ref="A9:C9"/>
    <mergeCell ref="A4:A7"/>
    <mergeCell ref="F4:F7"/>
    <mergeCell ref="A36:C36"/>
    <mergeCell ref="A17:C17"/>
    <mergeCell ref="A10:C10"/>
    <mergeCell ref="D4:D7"/>
    <mergeCell ref="E4:E7"/>
    <mergeCell ref="S4:S7"/>
    <mergeCell ref="J4:O4"/>
    <mergeCell ref="K5:O5"/>
    <mergeCell ref="Q4:Q6"/>
    <mergeCell ref="P4:P6"/>
    <mergeCell ref="J5:J6"/>
  </mergeCells>
  <printOptions horizontalCentered="1"/>
  <pageMargins left="0" right="0" top="0" bottom="0" header="0.31496062992125984" footer="0.31496062992125984"/>
  <pageSetup paperSize="9" scale="55" fitToHeight="1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2"/>
  <sheetViews>
    <sheetView tabSelected="1" view="pageBreakPreview" topLeftCell="E1" zoomScale="75" zoomScaleNormal="82" zoomScaleSheetLayoutView="75" workbookViewId="0">
      <selection activeCell="H1" sqref="H1:J1"/>
    </sheetView>
  </sheetViews>
  <sheetFormatPr defaultColWidth="9.140625" defaultRowHeight="15.75"/>
  <cols>
    <col min="1" max="2" width="9.140625" style="1" customWidth="1"/>
    <col min="3" max="3" width="40.140625" style="1" customWidth="1"/>
    <col min="4" max="4" width="14.7109375" style="1" customWidth="1"/>
    <col min="5" max="5" width="11.140625" style="1" customWidth="1"/>
    <col min="6" max="6" width="15.85546875" style="1" customWidth="1"/>
    <col min="7" max="7" width="39.7109375" style="1" customWidth="1"/>
    <col min="8" max="8" width="48" style="1" customWidth="1"/>
    <col min="9" max="9" width="18.85546875" style="18" customWidth="1"/>
    <col min="10" max="11" width="16.140625" style="18" customWidth="1"/>
    <col min="12" max="13" width="9.140625" style="2"/>
    <col min="14" max="16384" width="9.140625" style="1"/>
  </cols>
  <sheetData>
    <row r="1" spans="1:13" ht="63" customHeight="1">
      <c r="H1" s="109" t="s">
        <v>106</v>
      </c>
      <c r="I1" s="109"/>
      <c r="J1" s="109"/>
    </row>
    <row r="2" spans="1:13" ht="46.5" customHeight="1">
      <c r="A2" s="104" t="s">
        <v>59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3">
      <c r="A3" s="3"/>
      <c r="B3" s="3"/>
      <c r="C3" s="3"/>
      <c r="D3" s="4"/>
      <c r="E3" s="4"/>
      <c r="F3" s="4"/>
      <c r="G3" s="3"/>
      <c r="H3" s="4"/>
      <c r="I3" s="5"/>
      <c r="J3" s="6"/>
      <c r="K3" s="6"/>
    </row>
    <row r="4" spans="1:13" ht="78.75" customHeight="1">
      <c r="A4" s="47" t="s">
        <v>26</v>
      </c>
      <c r="B4" s="47" t="s">
        <v>37</v>
      </c>
      <c r="C4" s="41" t="s">
        <v>1</v>
      </c>
      <c r="D4" s="41" t="s">
        <v>20</v>
      </c>
      <c r="E4" s="8" t="s">
        <v>38</v>
      </c>
      <c r="F4" s="8" t="s">
        <v>2</v>
      </c>
      <c r="G4" s="41" t="s">
        <v>21</v>
      </c>
      <c r="H4" s="41" t="s">
        <v>22</v>
      </c>
      <c r="I4" s="9" t="s">
        <v>23</v>
      </c>
      <c r="J4" s="9" t="s">
        <v>24</v>
      </c>
      <c r="K4" s="9" t="s">
        <v>25</v>
      </c>
    </row>
    <row r="5" spans="1:13">
      <c r="A5" s="47">
        <v>1</v>
      </c>
      <c r="B5" s="47">
        <f>A5+1</f>
        <v>2</v>
      </c>
      <c r="C5" s="47">
        <f>B5+1</f>
        <v>3</v>
      </c>
      <c r="D5" s="47">
        <f>C5+1</f>
        <v>4</v>
      </c>
      <c r="E5" s="47">
        <v>5</v>
      </c>
      <c r="F5" s="47">
        <v>6</v>
      </c>
      <c r="G5" s="47">
        <f>F5+1</f>
        <v>7</v>
      </c>
      <c r="H5" s="47">
        <f>G5+1</f>
        <v>8</v>
      </c>
      <c r="I5" s="47">
        <f>H5+1</f>
        <v>9</v>
      </c>
      <c r="J5" s="47">
        <f>I5+1</f>
        <v>10</v>
      </c>
      <c r="K5" s="47">
        <f>J5+1</f>
        <v>11</v>
      </c>
    </row>
    <row r="6" spans="1:13" ht="15.75" customHeight="1">
      <c r="A6" s="74" t="s">
        <v>16</v>
      </c>
      <c r="B6" s="75"/>
      <c r="C6" s="76"/>
      <c r="D6" s="10" t="e">
        <f>D7+D29+D91</f>
        <v>#REF!</v>
      </c>
      <c r="E6" s="10"/>
      <c r="F6" s="10"/>
      <c r="G6" s="47"/>
      <c r="H6" s="47"/>
      <c r="I6" s="11" t="e">
        <f>I7+I29+I91</f>
        <v>#REF!</v>
      </c>
      <c r="J6" s="11"/>
      <c r="K6" s="11"/>
    </row>
    <row r="7" spans="1:13" ht="15.75" customHeight="1">
      <c r="A7" s="74" t="s">
        <v>60</v>
      </c>
      <c r="B7" s="75"/>
      <c r="C7" s="76"/>
      <c r="D7" s="11" t="e">
        <f>D21+D11+D16+D26+D19+D8+#REF!</f>
        <v>#REF!</v>
      </c>
      <c r="E7" s="11"/>
      <c r="F7" s="11"/>
      <c r="G7" s="47"/>
      <c r="H7" s="12"/>
      <c r="I7" s="11" t="e">
        <f>I21+I11+I16+I26+I19+I8+#REF!</f>
        <v>#REF!</v>
      </c>
      <c r="J7" s="11"/>
      <c r="K7" s="11"/>
    </row>
    <row r="8" spans="1:13" ht="15.75" customHeight="1">
      <c r="A8" s="87">
        <v>1</v>
      </c>
      <c r="B8" s="87">
        <v>4391</v>
      </c>
      <c r="C8" s="90" t="s">
        <v>84</v>
      </c>
      <c r="D8" s="84">
        <v>999.17</v>
      </c>
      <c r="E8" s="87" t="s">
        <v>33</v>
      </c>
      <c r="F8" s="87">
        <v>2</v>
      </c>
      <c r="G8" s="47"/>
      <c r="H8" s="12" t="s">
        <v>31</v>
      </c>
      <c r="I8" s="11">
        <f>SUM(I9:I10)</f>
        <v>3274978.37</v>
      </c>
      <c r="J8" s="11">
        <f>SUM(J9:J10)</f>
        <v>3277.7</v>
      </c>
      <c r="K8" s="11">
        <f>SUM(K9:K10)</f>
        <v>15710</v>
      </c>
    </row>
    <row r="9" spans="1:13" ht="54.75" customHeight="1">
      <c r="A9" s="88"/>
      <c r="B9" s="88"/>
      <c r="C9" s="91"/>
      <c r="D9" s="85"/>
      <c r="E9" s="88"/>
      <c r="F9" s="88"/>
      <c r="G9" s="100" t="s">
        <v>29</v>
      </c>
      <c r="H9" s="13" t="s">
        <v>89</v>
      </c>
      <c r="I9" s="11">
        <v>147817.26</v>
      </c>
      <c r="J9" s="11">
        <f>I9/D8</f>
        <v>147.94</v>
      </c>
      <c r="K9" s="11">
        <f>330+96</f>
        <v>426</v>
      </c>
    </row>
    <row r="10" spans="1:13" ht="27.95" customHeight="1">
      <c r="A10" s="88"/>
      <c r="B10" s="88"/>
      <c r="C10" s="91"/>
      <c r="D10" s="85"/>
      <c r="E10" s="88"/>
      <c r="F10" s="88"/>
      <c r="G10" s="93"/>
      <c r="H10" s="13" t="s">
        <v>19</v>
      </c>
      <c r="I10" s="11">
        <f>10423870.38*0.3</f>
        <v>3127161.11</v>
      </c>
      <c r="J10" s="11">
        <f>I10/D8</f>
        <v>3129.76</v>
      </c>
      <c r="K10" s="11">
        <v>15284</v>
      </c>
    </row>
    <row r="11" spans="1:13" ht="15.75" customHeight="1">
      <c r="A11" s="99">
        <f>A8+1</f>
        <v>2</v>
      </c>
      <c r="B11" s="99">
        <v>4552</v>
      </c>
      <c r="C11" s="99" t="s">
        <v>95</v>
      </c>
      <c r="D11" s="99">
        <v>306.33999999999997</v>
      </c>
      <c r="E11" s="99" t="s">
        <v>33</v>
      </c>
      <c r="F11" s="99">
        <v>2</v>
      </c>
      <c r="G11" s="39"/>
      <c r="H11" s="12" t="s">
        <v>31</v>
      </c>
      <c r="I11" s="11">
        <f>SUM(I12:I15)</f>
        <v>2811584.26</v>
      </c>
      <c r="J11" s="11">
        <f>SUM(J12:J15)</f>
        <v>9177.99</v>
      </c>
      <c r="K11" s="11">
        <f>SUM(K12:K15)</f>
        <v>21248</v>
      </c>
      <c r="L11" s="1"/>
      <c r="M11" s="1"/>
    </row>
    <row r="12" spans="1:13" ht="15.75" customHeight="1">
      <c r="A12" s="99"/>
      <c r="B12" s="99"/>
      <c r="C12" s="99"/>
      <c r="D12" s="99"/>
      <c r="E12" s="99"/>
      <c r="F12" s="99"/>
      <c r="G12" s="108" t="s">
        <v>29</v>
      </c>
      <c r="H12" s="12" t="s">
        <v>19</v>
      </c>
      <c r="I12" s="11">
        <v>2231401.04</v>
      </c>
      <c r="J12" s="11">
        <f>I12/D11-0.01</f>
        <v>7284.06</v>
      </c>
      <c r="K12" s="40">
        <v>15284</v>
      </c>
      <c r="L12" s="1"/>
      <c r="M12" s="1"/>
    </row>
    <row r="13" spans="1:13" ht="33.75" customHeight="1">
      <c r="A13" s="99"/>
      <c r="B13" s="99"/>
      <c r="C13" s="99"/>
      <c r="D13" s="99"/>
      <c r="E13" s="99"/>
      <c r="F13" s="99"/>
      <c r="G13" s="108"/>
      <c r="H13" s="12" t="s">
        <v>30</v>
      </c>
      <c r="I13" s="11">
        <v>48535.06</v>
      </c>
      <c r="J13" s="11">
        <f>I13/D11</f>
        <v>158.44</v>
      </c>
      <c r="K13" s="40">
        <v>327</v>
      </c>
      <c r="L13" s="1"/>
      <c r="M13" s="1"/>
    </row>
    <row r="14" spans="1:13" ht="47.1" customHeight="1">
      <c r="A14" s="99"/>
      <c r="B14" s="99"/>
      <c r="C14" s="99"/>
      <c r="D14" s="99"/>
      <c r="E14" s="99"/>
      <c r="F14" s="99"/>
      <c r="G14" s="108" t="s">
        <v>90</v>
      </c>
      <c r="H14" s="12" t="s">
        <v>19</v>
      </c>
      <c r="I14" s="11">
        <v>514303.99</v>
      </c>
      <c r="J14" s="11">
        <f>I14/D11</f>
        <v>1678.87</v>
      </c>
      <c r="K14" s="40">
        <v>5519</v>
      </c>
      <c r="L14" s="1"/>
      <c r="M14" s="1"/>
    </row>
    <row r="15" spans="1:13" ht="47.25" customHeight="1">
      <c r="A15" s="99"/>
      <c r="B15" s="99"/>
      <c r="C15" s="99"/>
      <c r="D15" s="99"/>
      <c r="E15" s="99"/>
      <c r="F15" s="99"/>
      <c r="G15" s="108"/>
      <c r="H15" s="12" t="s">
        <v>30</v>
      </c>
      <c r="I15" s="11">
        <v>17344.169999999998</v>
      </c>
      <c r="J15" s="11">
        <f>I15/D11</f>
        <v>56.62</v>
      </c>
      <c r="K15" s="40">
        <v>118</v>
      </c>
      <c r="L15" s="1"/>
      <c r="M15" s="1"/>
    </row>
    <row r="16" spans="1:13" ht="15.75" customHeight="1">
      <c r="A16" s="99">
        <f>A11+1</f>
        <v>3</v>
      </c>
      <c r="B16" s="99">
        <v>4616</v>
      </c>
      <c r="C16" s="99" t="s">
        <v>94</v>
      </c>
      <c r="D16" s="99">
        <v>398.8</v>
      </c>
      <c r="E16" s="99" t="s">
        <v>33</v>
      </c>
      <c r="F16" s="99">
        <v>2</v>
      </c>
      <c r="G16" s="100" t="s">
        <v>29</v>
      </c>
      <c r="H16" s="12" t="s">
        <v>31</v>
      </c>
      <c r="I16" s="11">
        <f>SUM(I17:I18)</f>
        <v>2864235.62</v>
      </c>
      <c r="J16" s="11">
        <f>SUM(J17:J18)</f>
        <v>7182.14</v>
      </c>
      <c r="K16" s="11">
        <f>SUM(K17:K18)</f>
        <v>15611</v>
      </c>
      <c r="L16" s="1"/>
      <c r="M16" s="1"/>
    </row>
    <row r="17" spans="1:13" ht="24" customHeight="1">
      <c r="A17" s="99"/>
      <c r="B17" s="99"/>
      <c r="C17" s="99"/>
      <c r="D17" s="99"/>
      <c r="E17" s="99"/>
      <c r="F17" s="99"/>
      <c r="G17" s="93"/>
      <c r="H17" s="12" t="s">
        <v>19</v>
      </c>
      <c r="I17" s="11">
        <v>2799162.64</v>
      </c>
      <c r="J17" s="11">
        <f>I17/D16+0.01</f>
        <v>7018.97</v>
      </c>
      <c r="K17" s="40">
        <v>15284</v>
      </c>
      <c r="L17" s="1"/>
      <c r="M17" s="1"/>
    </row>
    <row r="18" spans="1:13">
      <c r="A18" s="99"/>
      <c r="B18" s="99"/>
      <c r="C18" s="99"/>
      <c r="D18" s="99"/>
      <c r="E18" s="99"/>
      <c r="F18" s="99"/>
      <c r="G18" s="94"/>
      <c r="H18" s="12" t="s">
        <v>30</v>
      </c>
      <c r="I18" s="11">
        <v>65072.98</v>
      </c>
      <c r="J18" s="11">
        <f>I18/D16</f>
        <v>163.16999999999999</v>
      </c>
      <c r="K18" s="40">
        <v>327</v>
      </c>
      <c r="L18" s="1"/>
      <c r="M18" s="1"/>
    </row>
    <row r="19" spans="1:13" ht="15.75" customHeight="1">
      <c r="A19" s="87">
        <f>A16+1</f>
        <v>4</v>
      </c>
      <c r="B19" s="87">
        <v>4591</v>
      </c>
      <c r="C19" s="90" t="s">
        <v>83</v>
      </c>
      <c r="D19" s="84">
        <v>886</v>
      </c>
      <c r="E19" s="87" t="s">
        <v>33</v>
      </c>
      <c r="F19" s="87">
        <v>2</v>
      </c>
      <c r="G19" s="47"/>
      <c r="H19" s="12" t="s">
        <v>31</v>
      </c>
      <c r="I19" s="11">
        <f>I20</f>
        <v>167041.25</v>
      </c>
      <c r="J19" s="11">
        <f t="shared" ref="J19:K19" si="0">J20</f>
        <v>188.53</v>
      </c>
      <c r="K19" s="11">
        <f t="shared" si="0"/>
        <v>426</v>
      </c>
    </row>
    <row r="20" spans="1:13" ht="51.6" customHeight="1">
      <c r="A20" s="88"/>
      <c r="B20" s="88"/>
      <c r="C20" s="91"/>
      <c r="D20" s="85"/>
      <c r="E20" s="88"/>
      <c r="F20" s="88"/>
      <c r="G20" s="45" t="s">
        <v>29</v>
      </c>
      <c r="H20" s="13" t="s">
        <v>89</v>
      </c>
      <c r="I20" s="11">
        <f>129041.25+38000</f>
        <v>167041.25</v>
      </c>
      <c r="J20" s="11">
        <f>I20/D19</f>
        <v>188.53</v>
      </c>
      <c r="K20" s="11">
        <f>330+96</f>
        <v>426</v>
      </c>
    </row>
    <row r="21" spans="1:13" ht="15.75" customHeight="1">
      <c r="A21" s="87">
        <f>A19+1</f>
        <v>5</v>
      </c>
      <c r="B21" s="87">
        <v>4564</v>
      </c>
      <c r="C21" s="90" t="s">
        <v>82</v>
      </c>
      <c r="D21" s="84">
        <v>3211.02</v>
      </c>
      <c r="E21" s="87" t="s">
        <v>33</v>
      </c>
      <c r="F21" s="87">
        <v>5</v>
      </c>
      <c r="G21" s="47"/>
      <c r="H21" s="12" t="s">
        <v>31</v>
      </c>
      <c r="I21" s="11">
        <f>SUM(I22:I25)</f>
        <v>15798399.82</v>
      </c>
      <c r="J21" s="11">
        <f>SUM(J22:J25)</f>
        <v>4920.0600000000004</v>
      </c>
      <c r="K21" s="11">
        <f>SUM(K22:K25)</f>
        <v>5900</v>
      </c>
    </row>
    <row r="22" spans="1:13" ht="15.75" customHeight="1">
      <c r="A22" s="88"/>
      <c r="B22" s="88"/>
      <c r="C22" s="91"/>
      <c r="D22" s="85"/>
      <c r="E22" s="88"/>
      <c r="F22" s="88"/>
      <c r="G22" s="93" t="s">
        <v>29</v>
      </c>
      <c r="H22" s="13" t="s">
        <v>19</v>
      </c>
      <c r="I22" s="11">
        <v>13813150.210000001</v>
      </c>
      <c r="J22" s="11">
        <f>I22/D21</f>
        <v>4301.8</v>
      </c>
      <c r="K22" s="11">
        <v>4945</v>
      </c>
    </row>
    <row r="23" spans="1:13" ht="23.45" customHeight="1">
      <c r="A23" s="88"/>
      <c r="B23" s="88"/>
      <c r="C23" s="91"/>
      <c r="D23" s="85"/>
      <c r="E23" s="88"/>
      <c r="F23" s="88"/>
      <c r="G23" s="94"/>
      <c r="H23" s="13" t="s">
        <v>30</v>
      </c>
      <c r="I23" s="11">
        <v>295601.40999999997</v>
      </c>
      <c r="J23" s="11">
        <f>I23/D21</f>
        <v>92.06</v>
      </c>
      <c r="K23" s="11">
        <v>106</v>
      </c>
    </row>
    <row r="24" spans="1:13" ht="15.75" customHeight="1">
      <c r="A24" s="88"/>
      <c r="B24" s="88"/>
      <c r="C24" s="91"/>
      <c r="D24" s="85"/>
      <c r="E24" s="88"/>
      <c r="F24" s="88"/>
      <c r="G24" s="93" t="s">
        <v>85</v>
      </c>
      <c r="H24" s="13" t="s">
        <v>19</v>
      </c>
      <c r="I24" s="11">
        <v>1654247.31</v>
      </c>
      <c r="J24" s="11">
        <f>I24/D21</f>
        <v>515.17999999999995</v>
      </c>
      <c r="K24" s="11">
        <v>831</v>
      </c>
    </row>
    <row r="25" spans="1:13" ht="24.6" customHeight="1">
      <c r="A25" s="89"/>
      <c r="B25" s="89"/>
      <c r="C25" s="92"/>
      <c r="D25" s="86"/>
      <c r="E25" s="89"/>
      <c r="F25" s="89"/>
      <c r="G25" s="94"/>
      <c r="H25" s="13" t="s">
        <v>30</v>
      </c>
      <c r="I25" s="11">
        <v>35400.89</v>
      </c>
      <c r="J25" s="11">
        <f>I25/D21</f>
        <v>11.02</v>
      </c>
      <c r="K25" s="11">
        <v>18</v>
      </c>
    </row>
    <row r="26" spans="1:13" ht="15.6" customHeight="1">
      <c r="A26" s="87">
        <f>A21+1</f>
        <v>6</v>
      </c>
      <c r="B26" s="87">
        <v>4459</v>
      </c>
      <c r="C26" s="90" t="s">
        <v>81</v>
      </c>
      <c r="D26" s="84">
        <v>631.03</v>
      </c>
      <c r="E26" s="87" t="s">
        <v>33</v>
      </c>
      <c r="F26" s="87">
        <v>2</v>
      </c>
      <c r="G26" s="47"/>
      <c r="H26" s="12" t="s">
        <v>31</v>
      </c>
      <c r="I26" s="11">
        <f>SUM(I27:I28)</f>
        <v>2740061.12</v>
      </c>
      <c r="J26" s="11">
        <f>SUM(J27:J28)</f>
        <v>4342.2</v>
      </c>
      <c r="K26" s="11">
        <f>SUM(K27:K28)</f>
        <v>15710</v>
      </c>
    </row>
    <row r="27" spans="1:13" ht="47.25" customHeight="1">
      <c r="A27" s="88"/>
      <c r="B27" s="88"/>
      <c r="C27" s="91"/>
      <c r="D27" s="85"/>
      <c r="E27" s="88"/>
      <c r="F27" s="88"/>
      <c r="G27" s="100" t="s">
        <v>29</v>
      </c>
      <c r="H27" s="13" t="s">
        <v>89</v>
      </c>
      <c r="I27" s="11">
        <f>105677.7+36000</f>
        <v>141677.70000000001</v>
      </c>
      <c r="J27" s="11">
        <f>I27/D26</f>
        <v>224.52</v>
      </c>
      <c r="K27" s="11">
        <f>330+96</f>
        <v>426</v>
      </c>
    </row>
    <row r="28" spans="1:13" ht="27.6" customHeight="1">
      <c r="A28" s="89"/>
      <c r="B28" s="89"/>
      <c r="C28" s="92"/>
      <c r="D28" s="86"/>
      <c r="E28" s="89"/>
      <c r="F28" s="89"/>
      <c r="G28" s="94"/>
      <c r="H28" s="13" t="s">
        <v>19</v>
      </c>
      <c r="I28" s="11">
        <f>8661278.06*0.3</f>
        <v>2598383.42</v>
      </c>
      <c r="J28" s="11">
        <f>I28/D26-0.01</f>
        <v>4117.68</v>
      </c>
      <c r="K28" s="11">
        <v>15284</v>
      </c>
    </row>
    <row r="29" spans="1:13" ht="15.75" customHeight="1">
      <c r="A29" s="74" t="s">
        <v>61</v>
      </c>
      <c r="B29" s="75"/>
      <c r="C29" s="76"/>
      <c r="D29" s="11">
        <f>D30+D33+D38+D41+D45+D48+D50+D53+D57+D61+D65+D69+D72+D81+D84+D75+D78+D88</f>
        <v>10641.37</v>
      </c>
      <c r="E29" s="11"/>
      <c r="F29" s="11"/>
      <c r="G29" s="11"/>
      <c r="H29" s="11"/>
      <c r="I29" s="11">
        <f>I30+I33+I38+I41+I45+I48+I50+I53+I57+I61+I65+I69+I72+I81+I84+I75+I78+I88</f>
        <v>32781496.760000002</v>
      </c>
      <c r="J29" s="11"/>
      <c r="K29" s="11"/>
    </row>
    <row r="30" spans="1:13" ht="15.75" customHeight="1">
      <c r="A30" s="99">
        <v>1</v>
      </c>
      <c r="B30" s="99">
        <v>4391</v>
      </c>
      <c r="C30" s="105" t="s">
        <v>84</v>
      </c>
      <c r="D30" s="101">
        <v>999.17</v>
      </c>
      <c r="E30" s="101" t="s">
        <v>33</v>
      </c>
      <c r="F30" s="101">
        <v>2</v>
      </c>
      <c r="G30" s="100" t="s">
        <v>29</v>
      </c>
      <c r="H30" s="12" t="s">
        <v>31</v>
      </c>
      <c r="I30" s="11">
        <f>SUM(I31:I32)</f>
        <v>8213196.8600000003</v>
      </c>
      <c r="J30" s="11">
        <f t="shared" ref="J30:K30" si="1">SUM(J31:J32)</f>
        <v>8220.02</v>
      </c>
      <c r="K30" s="11">
        <f t="shared" si="1"/>
        <v>18629</v>
      </c>
    </row>
    <row r="31" spans="1:13" ht="15.75" customHeight="1">
      <c r="A31" s="99"/>
      <c r="B31" s="99"/>
      <c r="C31" s="106"/>
      <c r="D31" s="102"/>
      <c r="E31" s="102"/>
      <c r="F31" s="102"/>
      <c r="G31" s="93"/>
      <c r="H31" s="13" t="s">
        <v>19</v>
      </c>
      <c r="I31" s="11">
        <v>7983542.6299999999</v>
      </c>
      <c r="J31" s="11">
        <f>I31/D30</f>
        <v>7990.17</v>
      </c>
      <c r="K31" s="11">
        <v>18239</v>
      </c>
    </row>
    <row r="32" spans="1:13" ht="15.75" customHeight="1">
      <c r="A32" s="99"/>
      <c r="B32" s="99"/>
      <c r="C32" s="107"/>
      <c r="D32" s="103"/>
      <c r="E32" s="103"/>
      <c r="F32" s="103"/>
      <c r="G32" s="94"/>
      <c r="H32" s="13" t="s">
        <v>30</v>
      </c>
      <c r="I32" s="11">
        <v>229654.23</v>
      </c>
      <c r="J32" s="11">
        <f>I32/D30</f>
        <v>229.85</v>
      </c>
      <c r="K32" s="11">
        <v>390</v>
      </c>
    </row>
    <row r="33" spans="1:13" ht="21.6" customHeight="1">
      <c r="A33" s="99">
        <f>A30+1</f>
        <v>2</v>
      </c>
      <c r="B33" s="99">
        <v>4486</v>
      </c>
      <c r="C33" s="99" t="s">
        <v>93</v>
      </c>
      <c r="D33" s="98">
        <v>304.31</v>
      </c>
      <c r="E33" s="99" t="s">
        <v>33</v>
      </c>
      <c r="F33" s="99">
        <v>2</v>
      </c>
      <c r="G33" s="47"/>
      <c r="H33" s="12" t="s">
        <v>31</v>
      </c>
      <c r="I33" s="11">
        <f>SUM(I34:I37)</f>
        <v>1809858.09</v>
      </c>
      <c r="J33" s="11">
        <f>SUM(J34:J37)</f>
        <v>5947.42</v>
      </c>
      <c r="K33" s="11">
        <f>SUM(K34:K37)</f>
        <v>6005</v>
      </c>
      <c r="L33" s="1"/>
      <c r="M33" s="1"/>
    </row>
    <row r="34" spans="1:13">
      <c r="A34" s="99"/>
      <c r="B34" s="99"/>
      <c r="C34" s="99"/>
      <c r="D34" s="98"/>
      <c r="E34" s="99"/>
      <c r="F34" s="99"/>
      <c r="G34" s="100" t="s">
        <v>36</v>
      </c>
      <c r="H34" s="12" t="s">
        <v>19</v>
      </c>
      <c r="I34" s="11">
        <f>D33*K34</f>
        <v>1576630.11</v>
      </c>
      <c r="J34" s="11">
        <f>I34/D33</f>
        <v>5181</v>
      </c>
      <c r="K34" s="40">
        <v>5181</v>
      </c>
      <c r="L34" s="1"/>
      <c r="M34" s="1"/>
    </row>
    <row r="35" spans="1:13" ht="25.5" customHeight="1">
      <c r="A35" s="99"/>
      <c r="B35" s="99"/>
      <c r="C35" s="99"/>
      <c r="D35" s="98"/>
      <c r="E35" s="99"/>
      <c r="F35" s="99"/>
      <c r="G35" s="94"/>
      <c r="H35" s="12" t="s">
        <v>30</v>
      </c>
      <c r="I35" s="11">
        <v>17682.400000000001</v>
      </c>
      <c r="J35" s="11">
        <f>I35/D33</f>
        <v>58.11</v>
      </c>
      <c r="K35" s="40">
        <v>111</v>
      </c>
      <c r="L35" s="1"/>
      <c r="M35" s="1"/>
    </row>
    <row r="36" spans="1:13">
      <c r="A36" s="99"/>
      <c r="B36" s="99"/>
      <c r="C36" s="99"/>
      <c r="D36" s="98"/>
      <c r="E36" s="99"/>
      <c r="F36" s="99"/>
      <c r="G36" s="100" t="s">
        <v>53</v>
      </c>
      <c r="H36" s="12" t="s">
        <v>19</v>
      </c>
      <c r="I36" s="11">
        <f>D33*K36</f>
        <v>212408.38</v>
      </c>
      <c r="J36" s="11">
        <f>I36/D33</f>
        <v>698</v>
      </c>
      <c r="K36" s="40">
        <v>698</v>
      </c>
      <c r="L36" s="1"/>
      <c r="M36" s="1"/>
    </row>
    <row r="37" spans="1:13" ht="57" customHeight="1">
      <c r="A37" s="99"/>
      <c r="B37" s="99"/>
      <c r="C37" s="99"/>
      <c r="D37" s="98"/>
      <c r="E37" s="99"/>
      <c r="F37" s="99"/>
      <c r="G37" s="94"/>
      <c r="H37" s="12" t="s">
        <v>30</v>
      </c>
      <c r="I37" s="11">
        <v>3137.2</v>
      </c>
      <c r="J37" s="11">
        <f>I37/D33</f>
        <v>10.31</v>
      </c>
      <c r="K37" s="40">
        <v>15</v>
      </c>
      <c r="L37" s="1"/>
      <c r="M37" s="1"/>
    </row>
    <row r="38" spans="1:13" ht="15.75" customHeight="1">
      <c r="A38" s="87">
        <f>A33+1</f>
        <v>3</v>
      </c>
      <c r="B38" s="87">
        <v>4504</v>
      </c>
      <c r="C38" s="90" t="s">
        <v>70</v>
      </c>
      <c r="D38" s="84">
        <v>996.06</v>
      </c>
      <c r="E38" s="87" t="s">
        <v>33</v>
      </c>
      <c r="F38" s="87">
        <v>2</v>
      </c>
      <c r="G38" s="47"/>
      <c r="H38" s="12" t="s">
        <v>31</v>
      </c>
      <c r="I38" s="11">
        <f>SUM(I39:I40)</f>
        <v>470140.32</v>
      </c>
      <c r="J38" s="11">
        <f>SUM(J39:J40)</f>
        <v>472</v>
      </c>
      <c r="K38" s="11">
        <f>SUM(K39:K40)</f>
        <v>493</v>
      </c>
    </row>
    <row r="39" spans="1:13" ht="47.25" customHeight="1">
      <c r="A39" s="88"/>
      <c r="B39" s="88"/>
      <c r="C39" s="91"/>
      <c r="D39" s="85"/>
      <c r="E39" s="88"/>
      <c r="F39" s="88"/>
      <c r="G39" s="44" t="s">
        <v>36</v>
      </c>
      <c r="H39" s="13" t="s">
        <v>35</v>
      </c>
      <c r="I39" s="11">
        <f>401412.18+20917.26</f>
        <v>422329.44</v>
      </c>
      <c r="J39" s="11">
        <f>I39/D38</f>
        <v>424</v>
      </c>
      <c r="K39" s="11">
        <f>423+21</f>
        <v>444</v>
      </c>
    </row>
    <row r="40" spans="1:13" ht="54" customHeight="1">
      <c r="A40" s="88"/>
      <c r="B40" s="88"/>
      <c r="C40" s="91"/>
      <c r="D40" s="85"/>
      <c r="E40" s="88"/>
      <c r="F40" s="88"/>
      <c r="G40" s="44" t="s">
        <v>53</v>
      </c>
      <c r="H40" s="13" t="s">
        <v>35</v>
      </c>
      <c r="I40" s="11">
        <f>26893.62+20917.26</f>
        <v>47810.879999999997</v>
      </c>
      <c r="J40" s="11">
        <f>I40/D38</f>
        <v>48</v>
      </c>
      <c r="K40" s="11">
        <f>28+21</f>
        <v>49</v>
      </c>
    </row>
    <row r="41" spans="1:13" ht="15.75" customHeight="1">
      <c r="A41" s="87">
        <f>A38+1</f>
        <v>4</v>
      </c>
      <c r="B41" s="87">
        <v>4507</v>
      </c>
      <c r="C41" s="90" t="s">
        <v>78</v>
      </c>
      <c r="D41" s="84">
        <v>862.24</v>
      </c>
      <c r="E41" s="87" t="s">
        <v>33</v>
      </c>
      <c r="F41" s="87">
        <v>2</v>
      </c>
      <c r="G41" s="47"/>
      <c r="H41" s="12" t="s">
        <v>31</v>
      </c>
      <c r="I41" s="11">
        <f>SUM(I42:I44)</f>
        <v>488027.84</v>
      </c>
      <c r="J41" s="11">
        <f>SUM(J42:J44)</f>
        <v>566</v>
      </c>
      <c r="K41" s="11">
        <f>SUM(K42:K44)</f>
        <v>590</v>
      </c>
    </row>
    <row r="42" spans="1:13" ht="47.25" customHeight="1">
      <c r="A42" s="88"/>
      <c r="B42" s="88"/>
      <c r="C42" s="91"/>
      <c r="D42" s="85"/>
      <c r="E42" s="88"/>
      <c r="F42" s="88"/>
      <c r="G42" s="44" t="s">
        <v>36</v>
      </c>
      <c r="H42" s="13" t="s">
        <v>35</v>
      </c>
      <c r="I42" s="11">
        <f>347482.72+18107.04</f>
        <v>365589.76000000001</v>
      </c>
      <c r="J42" s="11">
        <f>I42/D41</f>
        <v>424</v>
      </c>
      <c r="K42" s="11">
        <f>423+21</f>
        <v>444</v>
      </c>
    </row>
    <row r="43" spans="1:13" ht="54" customHeight="1">
      <c r="A43" s="88"/>
      <c r="B43" s="88"/>
      <c r="C43" s="91"/>
      <c r="D43" s="85"/>
      <c r="E43" s="88"/>
      <c r="F43" s="88"/>
      <c r="G43" s="44" t="s">
        <v>53</v>
      </c>
      <c r="H43" s="13" t="s">
        <v>35</v>
      </c>
      <c r="I43" s="11">
        <f>23280.48+18107.04</f>
        <v>41387.519999999997</v>
      </c>
      <c r="J43" s="11">
        <f>I43/D41</f>
        <v>48</v>
      </c>
      <c r="K43" s="11">
        <f>28+21</f>
        <v>49</v>
      </c>
    </row>
    <row r="44" spans="1:13" ht="53.45" customHeight="1">
      <c r="A44" s="88"/>
      <c r="B44" s="88"/>
      <c r="C44" s="91"/>
      <c r="D44" s="85"/>
      <c r="E44" s="88"/>
      <c r="F44" s="88"/>
      <c r="G44" s="44" t="s">
        <v>54</v>
      </c>
      <c r="H44" s="13" t="s">
        <v>35</v>
      </c>
      <c r="I44" s="11">
        <f>64668+16382.56</f>
        <v>81050.559999999998</v>
      </c>
      <c r="J44" s="11">
        <f>I44/D41</f>
        <v>94</v>
      </c>
      <c r="K44" s="11">
        <f>78+19</f>
        <v>97</v>
      </c>
    </row>
    <row r="45" spans="1:13" ht="15.75" customHeight="1">
      <c r="A45" s="87">
        <f>A106+1</f>
        <v>5</v>
      </c>
      <c r="B45" s="87">
        <v>4607</v>
      </c>
      <c r="C45" s="90" t="s">
        <v>72</v>
      </c>
      <c r="D45" s="84">
        <v>242.2</v>
      </c>
      <c r="E45" s="87" t="s">
        <v>32</v>
      </c>
      <c r="F45" s="87">
        <v>1</v>
      </c>
      <c r="G45" s="47"/>
      <c r="H45" s="12" t="s">
        <v>31</v>
      </c>
      <c r="I45" s="11">
        <f>SUM(I46:I47)</f>
        <v>264799.68</v>
      </c>
      <c r="J45" s="11">
        <f>SUM(J46:J47)</f>
        <v>1093.31</v>
      </c>
      <c r="K45" s="11">
        <f>SUM(K46:K47)</f>
        <v>1145</v>
      </c>
    </row>
    <row r="46" spans="1:13" ht="47.25" customHeight="1">
      <c r="A46" s="88"/>
      <c r="B46" s="88"/>
      <c r="C46" s="91"/>
      <c r="D46" s="85"/>
      <c r="E46" s="88"/>
      <c r="F46" s="88"/>
      <c r="G46" s="44" t="s">
        <v>29</v>
      </c>
      <c r="H46" s="13" t="s">
        <v>89</v>
      </c>
      <c r="I46" s="11">
        <v>108590.37</v>
      </c>
      <c r="J46" s="11">
        <f>I46/D45</f>
        <v>448.35</v>
      </c>
      <c r="K46" s="11">
        <f>347+120</f>
        <v>467</v>
      </c>
    </row>
    <row r="47" spans="1:13" ht="108.75" customHeight="1">
      <c r="A47" s="88"/>
      <c r="B47" s="88"/>
      <c r="C47" s="91"/>
      <c r="D47" s="85"/>
      <c r="E47" s="88"/>
      <c r="F47" s="88"/>
      <c r="G47" s="44" t="s">
        <v>90</v>
      </c>
      <c r="H47" s="13" t="s">
        <v>35</v>
      </c>
      <c r="I47" s="11">
        <v>156209.31</v>
      </c>
      <c r="J47" s="11">
        <f>I47/D45</f>
        <v>644.96</v>
      </c>
      <c r="K47" s="11">
        <f>638+40</f>
        <v>678</v>
      </c>
    </row>
    <row r="48" spans="1:13" ht="15.75" customHeight="1">
      <c r="A48" s="87">
        <f>A45+1</f>
        <v>6</v>
      </c>
      <c r="B48" s="87">
        <v>4608</v>
      </c>
      <c r="C48" s="90" t="s">
        <v>66</v>
      </c>
      <c r="D48" s="84">
        <v>330.3</v>
      </c>
      <c r="E48" s="87" t="s">
        <v>32</v>
      </c>
      <c r="F48" s="87">
        <v>1</v>
      </c>
      <c r="G48" s="47"/>
      <c r="H48" s="12" t="s">
        <v>31</v>
      </c>
      <c r="I48" s="11">
        <f>SUM(I49:I49)</f>
        <v>148090</v>
      </c>
      <c r="J48" s="11">
        <f>SUM(J49:J49)</f>
        <v>448.35</v>
      </c>
      <c r="K48" s="11">
        <f>SUM(K49:K49)</f>
        <v>467</v>
      </c>
    </row>
    <row r="49" spans="1:11" ht="47.25" customHeight="1">
      <c r="A49" s="88"/>
      <c r="B49" s="88"/>
      <c r="C49" s="91"/>
      <c r="D49" s="85"/>
      <c r="E49" s="88"/>
      <c r="F49" s="88"/>
      <c r="G49" s="44" t="s">
        <v>29</v>
      </c>
      <c r="H49" s="13" t="s">
        <v>89</v>
      </c>
      <c r="I49" s="52">
        <f>108454+39636</f>
        <v>148090</v>
      </c>
      <c r="J49" s="11">
        <f>I49/D48</f>
        <v>448.35</v>
      </c>
      <c r="K49" s="11">
        <f>347+120</f>
        <v>467</v>
      </c>
    </row>
    <row r="50" spans="1:11" ht="15.75" customHeight="1">
      <c r="A50" s="87">
        <f>A48+1</f>
        <v>7</v>
      </c>
      <c r="B50" s="87">
        <v>4550</v>
      </c>
      <c r="C50" s="90" t="s">
        <v>91</v>
      </c>
      <c r="D50" s="84">
        <v>1003.2</v>
      </c>
      <c r="E50" s="87" t="s">
        <v>33</v>
      </c>
      <c r="F50" s="87">
        <v>2</v>
      </c>
      <c r="G50" s="47"/>
      <c r="H50" s="12" t="s">
        <v>31</v>
      </c>
      <c r="I50" s="11">
        <f>SUM(I51:I52)</f>
        <v>460468.8</v>
      </c>
      <c r="J50" s="11">
        <f>SUM(J51:J52)</f>
        <v>459</v>
      </c>
      <c r="K50" s="11">
        <f>SUM(K51:K52)</f>
        <v>480</v>
      </c>
    </row>
    <row r="51" spans="1:11" ht="47.25" customHeight="1">
      <c r="A51" s="88"/>
      <c r="B51" s="88"/>
      <c r="C51" s="91"/>
      <c r="D51" s="85"/>
      <c r="E51" s="88"/>
      <c r="F51" s="88"/>
      <c r="G51" s="44" t="s">
        <v>36</v>
      </c>
      <c r="H51" s="13" t="s">
        <v>35</v>
      </c>
      <c r="I51" s="11">
        <f>404289.6+21067.2</f>
        <v>425356.79999999999</v>
      </c>
      <c r="J51" s="11">
        <f>I51/D50</f>
        <v>424</v>
      </c>
      <c r="K51" s="11">
        <f>423+21</f>
        <v>444</v>
      </c>
    </row>
    <row r="52" spans="1:11" ht="54" customHeight="1">
      <c r="A52" s="88"/>
      <c r="B52" s="88"/>
      <c r="C52" s="91"/>
      <c r="D52" s="85"/>
      <c r="E52" s="88"/>
      <c r="F52" s="88"/>
      <c r="G52" s="44" t="s">
        <v>53</v>
      </c>
      <c r="H52" s="13" t="s">
        <v>35</v>
      </c>
      <c r="I52" s="11">
        <f>27086.4+8025.6</f>
        <v>35112</v>
      </c>
      <c r="J52" s="11">
        <f>I52/D50</f>
        <v>35</v>
      </c>
      <c r="K52" s="11">
        <f>28+8</f>
        <v>36</v>
      </c>
    </row>
    <row r="53" spans="1:11" ht="15.75" customHeight="1">
      <c r="A53" s="87">
        <f>A50+1</f>
        <v>8</v>
      </c>
      <c r="B53" s="87">
        <v>4416</v>
      </c>
      <c r="C53" s="90" t="s">
        <v>67</v>
      </c>
      <c r="D53" s="84">
        <v>486.7</v>
      </c>
      <c r="E53" s="87" t="s">
        <v>33</v>
      </c>
      <c r="F53" s="87">
        <v>2</v>
      </c>
      <c r="G53" s="47"/>
      <c r="H53" s="12" t="s">
        <v>31</v>
      </c>
      <c r="I53" s="11">
        <f>SUM(I54:I56)</f>
        <v>276932.3</v>
      </c>
      <c r="J53" s="11">
        <f>SUM(J54:J56)</f>
        <v>569</v>
      </c>
      <c r="K53" s="11">
        <f>SUM(K54:K56)</f>
        <v>590</v>
      </c>
    </row>
    <row r="54" spans="1:11" ht="47.25" customHeight="1">
      <c r="A54" s="88"/>
      <c r="B54" s="88"/>
      <c r="C54" s="91"/>
      <c r="D54" s="85"/>
      <c r="E54" s="88"/>
      <c r="F54" s="88"/>
      <c r="G54" s="44" t="s">
        <v>36</v>
      </c>
      <c r="H54" s="13" t="s">
        <v>35</v>
      </c>
      <c r="I54" s="11">
        <f>196140.1+10220.7</f>
        <v>206360.8</v>
      </c>
      <c r="J54" s="11">
        <f>I54/D53</f>
        <v>424</v>
      </c>
      <c r="K54" s="11">
        <f>423+21</f>
        <v>444</v>
      </c>
    </row>
    <row r="55" spans="1:11" ht="54" customHeight="1">
      <c r="A55" s="88"/>
      <c r="B55" s="88"/>
      <c r="C55" s="91"/>
      <c r="D55" s="85"/>
      <c r="E55" s="88"/>
      <c r="F55" s="88"/>
      <c r="G55" s="44" t="s">
        <v>53</v>
      </c>
      <c r="H55" s="13" t="s">
        <v>35</v>
      </c>
      <c r="I55" s="11">
        <f>13140.9+10220.7</f>
        <v>23361.599999999999</v>
      </c>
      <c r="J55" s="11">
        <f>I55/D53</f>
        <v>48</v>
      </c>
      <c r="K55" s="11">
        <f>28+21</f>
        <v>49</v>
      </c>
    </row>
    <row r="56" spans="1:11" ht="54" customHeight="1">
      <c r="A56" s="89"/>
      <c r="B56" s="89"/>
      <c r="C56" s="92"/>
      <c r="D56" s="86"/>
      <c r="E56" s="89"/>
      <c r="F56" s="89"/>
      <c r="G56" s="44" t="s">
        <v>54</v>
      </c>
      <c r="H56" s="13" t="s">
        <v>35</v>
      </c>
      <c r="I56" s="11">
        <f>D53*K56</f>
        <v>47209.9</v>
      </c>
      <c r="J56" s="11">
        <f>I56/D53</f>
        <v>97</v>
      </c>
      <c r="K56" s="11">
        <f>78+19</f>
        <v>97</v>
      </c>
    </row>
    <row r="57" spans="1:11" ht="15.75" customHeight="1">
      <c r="A57" s="87">
        <f>A53+1</f>
        <v>9</v>
      </c>
      <c r="B57" s="87">
        <v>4417</v>
      </c>
      <c r="C57" s="90" t="s">
        <v>71</v>
      </c>
      <c r="D57" s="84">
        <v>495.73</v>
      </c>
      <c r="E57" s="87" t="s">
        <v>33</v>
      </c>
      <c r="F57" s="87">
        <v>2</v>
      </c>
      <c r="G57" s="47"/>
      <c r="H57" s="12" t="s">
        <v>31</v>
      </c>
      <c r="I57" s="11">
        <f>SUM(I58:I60)</f>
        <v>282051.49</v>
      </c>
      <c r="J57" s="11">
        <f t="shared" ref="J57:K57" si="2">SUM(J58:J60)</f>
        <v>568.96</v>
      </c>
      <c r="K57" s="11">
        <f t="shared" si="2"/>
        <v>590</v>
      </c>
    </row>
    <row r="58" spans="1:11" ht="47.25" customHeight="1">
      <c r="A58" s="88"/>
      <c r="B58" s="88"/>
      <c r="C58" s="91"/>
      <c r="D58" s="85"/>
      <c r="E58" s="88"/>
      <c r="F58" s="88"/>
      <c r="G58" s="44" t="s">
        <v>36</v>
      </c>
      <c r="H58" s="13" t="s">
        <v>35</v>
      </c>
      <c r="I58" s="11">
        <f>199763.07+10409.49</f>
        <v>210172.56</v>
      </c>
      <c r="J58" s="11">
        <f>I58/D57-0.01</f>
        <v>423.96</v>
      </c>
      <c r="K58" s="11">
        <f>423+21</f>
        <v>444</v>
      </c>
    </row>
    <row r="59" spans="1:11" ht="54" customHeight="1">
      <c r="A59" s="88"/>
      <c r="B59" s="88"/>
      <c r="C59" s="91"/>
      <c r="D59" s="85"/>
      <c r="E59" s="88"/>
      <c r="F59" s="88"/>
      <c r="G59" s="44" t="s">
        <v>53</v>
      </c>
      <c r="H59" s="13" t="s">
        <v>35</v>
      </c>
      <c r="I59" s="11">
        <f>13383.63+10409.49</f>
        <v>23793.119999999999</v>
      </c>
      <c r="J59" s="11">
        <f>I59/D57</f>
        <v>48</v>
      </c>
      <c r="K59" s="11">
        <f>28+21</f>
        <v>49</v>
      </c>
    </row>
    <row r="60" spans="1:11" ht="54" customHeight="1">
      <c r="A60" s="89"/>
      <c r="B60" s="89"/>
      <c r="C60" s="92"/>
      <c r="D60" s="86"/>
      <c r="E60" s="89"/>
      <c r="F60" s="89"/>
      <c r="G60" s="44" t="s">
        <v>54</v>
      </c>
      <c r="H60" s="13" t="s">
        <v>35</v>
      </c>
      <c r="I60" s="11">
        <f>D57*K60</f>
        <v>48085.81</v>
      </c>
      <c r="J60" s="11">
        <f>I60/D57</f>
        <v>97</v>
      </c>
      <c r="K60" s="11">
        <f>78+19</f>
        <v>97</v>
      </c>
    </row>
    <row r="61" spans="1:11" ht="15.75" customHeight="1">
      <c r="A61" s="87">
        <f>A57+1</f>
        <v>10</v>
      </c>
      <c r="B61" s="87">
        <v>4418</v>
      </c>
      <c r="C61" s="90" t="s">
        <v>68</v>
      </c>
      <c r="D61" s="84">
        <v>499.8</v>
      </c>
      <c r="E61" s="87" t="s">
        <v>33</v>
      </c>
      <c r="F61" s="87">
        <v>2</v>
      </c>
      <c r="G61" s="47"/>
      <c r="H61" s="12" t="s">
        <v>31</v>
      </c>
      <c r="I61" s="11">
        <f>SUM(I62:I64)</f>
        <v>282167.8</v>
      </c>
      <c r="J61" s="11">
        <f t="shared" ref="J61:K61" si="3">SUM(J62:J64)</f>
        <v>564.55999999999995</v>
      </c>
      <c r="K61" s="11">
        <f t="shared" si="3"/>
        <v>590</v>
      </c>
    </row>
    <row r="62" spans="1:11" ht="47.25" customHeight="1">
      <c r="A62" s="88"/>
      <c r="B62" s="88"/>
      <c r="C62" s="91"/>
      <c r="D62" s="85"/>
      <c r="E62" s="88"/>
      <c r="F62" s="88"/>
      <c r="G62" s="44" t="s">
        <v>36</v>
      </c>
      <c r="H62" s="13" t="s">
        <v>35</v>
      </c>
      <c r="I62" s="11">
        <f>199525.3+10397.1</f>
        <v>209922.4</v>
      </c>
      <c r="J62" s="11">
        <f>I62/D61</f>
        <v>420.01</v>
      </c>
      <c r="K62" s="11">
        <f>423+21</f>
        <v>444</v>
      </c>
    </row>
    <row r="63" spans="1:11" ht="54" customHeight="1">
      <c r="A63" s="88"/>
      <c r="B63" s="88"/>
      <c r="C63" s="91"/>
      <c r="D63" s="85"/>
      <c r="E63" s="88"/>
      <c r="F63" s="88"/>
      <c r="G63" s="44" t="s">
        <v>53</v>
      </c>
      <c r="H63" s="13" t="s">
        <v>35</v>
      </c>
      <c r="I63" s="11">
        <f>13367.7+10397.1</f>
        <v>23764.799999999999</v>
      </c>
      <c r="J63" s="11">
        <f>I63/D61</f>
        <v>47.55</v>
      </c>
      <c r="K63" s="11">
        <f>28+21</f>
        <v>49</v>
      </c>
    </row>
    <row r="64" spans="1:11" ht="54" customHeight="1">
      <c r="A64" s="89"/>
      <c r="B64" s="89"/>
      <c r="C64" s="92"/>
      <c r="D64" s="86"/>
      <c r="E64" s="89"/>
      <c r="F64" s="89"/>
      <c r="G64" s="44" t="s">
        <v>54</v>
      </c>
      <c r="H64" s="13" t="s">
        <v>35</v>
      </c>
      <c r="I64" s="11">
        <f>D61*K64</f>
        <v>48480.6</v>
      </c>
      <c r="J64" s="11">
        <f>I64/D61</f>
        <v>97</v>
      </c>
      <c r="K64" s="11">
        <f>78+19</f>
        <v>97</v>
      </c>
    </row>
    <row r="65" spans="1:11" ht="15.75" customHeight="1">
      <c r="A65" s="87">
        <f>A61+1</f>
        <v>11</v>
      </c>
      <c r="B65" s="87">
        <v>4400</v>
      </c>
      <c r="C65" s="90" t="s">
        <v>65</v>
      </c>
      <c r="D65" s="84">
        <v>390.28</v>
      </c>
      <c r="E65" s="87" t="s">
        <v>33</v>
      </c>
      <c r="F65" s="87">
        <v>2</v>
      </c>
      <c r="G65" s="47"/>
      <c r="H65" s="12" t="s">
        <v>31</v>
      </c>
      <c r="I65" s="11">
        <f>SUM(I66:I68)</f>
        <v>220898.48</v>
      </c>
      <c r="J65" s="11">
        <f>SUM(J66:J68)</f>
        <v>566</v>
      </c>
      <c r="K65" s="11">
        <f>SUM(K66:K68)</f>
        <v>590</v>
      </c>
    </row>
    <row r="66" spans="1:11" ht="47.25" customHeight="1">
      <c r="A66" s="88"/>
      <c r="B66" s="88"/>
      <c r="C66" s="91"/>
      <c r="D66" s="85"/>
      <c r="E66" s="88"/>
      <c r="F66" s="88"/>
      <c r="G66" s="44" t="s">
        <v>36</v>
      </c>
      <c r="H66" s="13" t="s">
        <v>35</v>
      </c>
      <c r="I66" s="11">
        <f>157282.84+8195.88</f>
        <v>165478.72</v>
      </c>
      <c r="J66" s="11">
        <f>I66/D65</f>
        <v>424</v>
      </c>
      <c r="K66" s="11">
        <f>423+21</f>
        <v>444</v>
      </c>
    </row>
    <row r="67" spans="1:11" ht="54" customHeight="1">
      <c r="A67" s="88"/>
      <c r="B67" s="88"/>
      <c r="C67" s="91"/>
      <c r="D67" s="85"/>
      <c r="E67" s="88"/>
      <c r="F67" s="88"/>
      <c r="G67" s="44" t="s">
        <v>53</v>
      </c>
      <c r="H67" s="13" t="s">
        <v>35</v>
      </c>
      <c r="I67" s="11">
        <f>10537.56+8195.88</f>
        <v>18733.439999999999</v>
      </c>
      <c r="J67" s="11">
        <f>I67/D65</f>
        <v>48</v>
      </c>
      <c r="K67" s="11">
        <f>28+21</f>
        <v>49</v>
      </c>
    </row>
    <row r="68" spans="1:11" ht="54" customHeight="1">
      <c r="A68" s="88"/>
      <c r="B68" s="88"/>
      <c r="C68" s="91"/>
      <c r="D68" s="85"/>
      <c r="E68" s="88"/>
      <c r="F68" s="88"/>
      <c r="G68" s="44" t="s">
        <v>54</v>
      </c>
      <c r="H68" s="13" t="s">
        <v>35</v>
      </c>
      <c r="I68" s="11">
        <f>29271+7415.32</f>
        <v>36686.32</v>
      </c>
      <c r="J68" s="11">
        <f>I68/D65</f>
        <v>94</v>
      </c>
      <c r="K68" s="11">
        <f>78+19</f>
        <v>97</v>
      </c>
    </row>
    <row r="69" spans="1:11" ht="15.75" customHeight="1">
      <c r="A69" s="87">
        <f>A65+1</f>
        <v>12</v>
      </c>
      <c r="B69" s="87">
        <v>4547</v>
      </c>
      <c r="C69" s="90" t="s">
        <v>63</v>
      </c>
      <c r="D69" s="84">
        <v>500.8</v>
      </c>
      <c r="E69" s="87" t="s">
        <v>32</v>
      </c>
      <c r="F69" s="87">
        <v>2</v>
      </c>
      <c r="G69" s="47"/>
      <c r="H69" s="12" t="s">
        <v>31</v>
      </c>
      <c r="I69" s="11">
        <f>SUM(I70:I71)</f>
        <v>236377.60000000001</v>
      </c>
      <c r="J69" s="11">
        <f>SUM(J70:J71)</f>
        <v>472</v>
      </c>
      <c r="K69" s="11">
        <f>SUM(K70:K71)</f>
        <v>493</v>
      </c>
    </row>
    <row r="70" spans="1:11" ht="47.25" customHeight="1">
      <c r="A70" s="88"/>
      <c r="B70" s="88"/>
      <c r="C70" s="91"/>
      <c r="D70" s="85"/>
      <c r="E70" s="88"/>
      <c r="F70" s="88"/>
      <c r="G70" s="44" t="s">
        <v>36</v>
      </c>
      <c r="H70" s="13" t="s">
        <v>35</v>
      </c>
      <c r="I70" s="11">
        <f>201822.4+10516.8</f>
        <v>212339.20000000001</v>
      </c>
      <c r="J70" s="11">
        <f>I70/D69</f>
        <v>424</v>
      </c>
      <c r="K70" s="11">
        <f>423+21</f>
        <v>444</v>
      </c>
    </row>
    <row r="71" spans="1:11" ht="54" customHeight="1">
      <c r="A71" s="88"/>
      <c r="B71" s="88"/>
      <c r="C71" s="91"/>
      <c r="D71" s="85"/>
      <c r="E71" s="88"/>
      <c r="F71" s="88"/>
      <c r="G71" s="44" t="s">
        <v>53</v>
      </c>
      <c r="H71" s="13" t="s">
        <v>35</v>
      </c>
      <c r="I71" s="11">
        <f>13521.6+10516.8</f>
        <v>24038.400000000001</v>
      </c>
      <c r="J71" s="11">
        <f>I71/D69</f>
        <v>48</v>
      </c>
      <c r="K71" s="11">
        <f>28+21</f>
        <v>49</v>
      </c>
    </row>
    <row r="72" spans="1:11" ht="15.75" customHeight="1">
      <c r="A72" s="87">
        <f>A69+1</f>
        <v>13</v>
      </c>
      <c r="B72" s="87">
        <v>4548</v>
      </c>
      <c r="C72" s="90" t="s">
        <v>64</v>
      </c>
      <c r="D72" s="84">
        <v>507.1</v>
      </c>
      <c r="E72" s="87" t="s">
        <v>32</v>
      </c>
      <c r="F72" s="87">
        <v>2</v>
      </c>
      <c r="G72" s="47"/>
      <c r="H72" s="12" t="s">
        <v>31</v>
      </c>
      <c r="I72" s="11">
        <f>SUM(I73:I74)</f>
        <v>239351.2</v>
      </c>
      <c r="J72" s="11">
        <f>SUM(J73:J74)</f>
        <v>472</v>
      </c>
      <c r="K72" s="11">
        <f>SUM(K73:K74)</f>
        <v>493</v>
      </c>
    </row>
    <row r="73" spans="1:11" ht="47.25" customHeight="1">
      <c r="A73" s="88"/>
      <c r="B73" s="88"/>
      <c r="C73" s="91"/>
      <c r="D73" s="85"/>
      <c r="E73" s="88"/>
      <c r="F73" s="88"/>
      <c r="G73" s="44" t="s">
        <v>36</v>
      </c>
      <c r="H73" s="13" t="s">
        <v>35</v>
      </c>
      <c r="I73" s="11">
        <f>204361.3+10649.1</f>
        <v>215010.4</v>
      </c>
      <c r="J73" s="11">
        <f>I73/D72</f>
        <v>424</v>
      </c>
      <c r="K73" s="11">
        <f>423+21</f>
        <v>444</v>
      </c>
    </row>
    <row r="74" spans="1:11" ht="54" customHeight="1">
      <c r="A74" s="88"/>
      <c r="B74" s="88"/>
      <c r="C74" s="91"/>
      <c r="D74" s="85"/>
      <c r="E74" s="88"/>
      <c r="F74" s="88"/>
      <c r="G74" s="44" t="s">
        <v>53</v>
      </c>
      <c r="H74" s="13" t="s">
        <v>35</v>
      </c>
      <c r="I74" s="11">
        <f>13691.7+10649.1</f>
        <v>24340.799999999999</v>
      </c>
      <c r="J74" s="11">
        <f>I74/D72</f>
        <v>48</v>
      </c>
      <c r="K74" s="11">
        <f>28+21</f>
        <v>49</v>
      </c>
    </row>
    <row r="75" spans="1:11" ht="15.75" customHeight="1">
      <c r="A75" s="87">
        <f>A72+1</f>
        <v>14</v>
      </c>
      <c r="B75" s="87">
        <v>4591</v>
      </c>
      <c r="C75" s="90" t="s">
        <v>83</v>
      </c>
      <c r="D75" s="84">
        <v>886</v>
      </c>
      <c r="E75" s="87" t="s">
        <v>33</v>
      </c>
      <c r="F75" s="87">
        <v>2</v>
      </c>
      <c r="G75" s="47"/>
      <c r="H75" s="12" t="s">
        <v>31</v>
      </c>
      <c r="I75" s="11">
        <f>SUM(I76:I77)</f>
        <v>12478142.789999999</v>
      </c>
      <c r="J75" s="11">
        <f>SUM(J76:J77)</f>
        <v>14083.68</v>
      </c>
      <c r="K75" s="11">
        <f>SUM(K76:K77)</f>
        <v>18629</v>
      </c>
    </row>
    <row r="76" spans="1:11" ht="27.6" customHeight="1">
      <c r="A76" s="88"/>
      <c r="B76" s="88"/>
      <c r="C76" s="91"/>
      <c r="D76" s="85"/>
      <c r="E76" s="88"/>
      <c r="F76" s="88"/>
      <c r="G76" s="100" t="s">
        <v>29</v>
      </c>
      <c r="H76" s="13" t="s">
        <v>19</v>
      </c>
      <c r="I76" s="11">
        <v>12216705.300000001</v>
      </c>
      <c r="J76" s="11">
        <f>I76/D75-0.01</f>
        <v>13788.6</v>
      </c>
      <c r="K76" s="11">
        <v>18239</v>
      </c>
    </row>
    <row r="77" spans="1:11" ht="28.5" customHeight="1">
      <c r="A77" s="88"/>
      <c r="B77" s="88"/>
      <c r="C77" s="91"/>
      <c r="D77" s="85"/>
      <c r="E77" s="88"/>
      <c r="F77" s="88"/>
      <c r="G77" s="94"/>
      <c r="H77" s="13" t="s">
        <v>30</v>
      </c>
      <c r="I77" s="11">
        <v>261437.49</v>
      </c>
      <c r="J77" s="11">
        <f>I77/D75</f>
        <v>295.08</v>
      </c>
      <c r="K77" s="11">
        <v>390</v>
      </c>
    </row>
    <row r="78" spans="1:11" ht="15.75" customHeight="1">
      <c r="A78" s="87">
        <f>A75+1</f>
        <v>15</v>
      </c>
      <c r="B78" s="87">
        <v>4441</v>
      </c>
      <c r="C78" s="90" t="s">
        <v>88</v>
      </c>
      <c r="D78" s="84">
        <v>355</v>
      </c>
      <c r="E78" s="87" t="s">
        <v>33</v>
      </c>
      <c r="F78" s="87">
        <v>2</v>
      </c>
      <c r="G78" s="47"/>
      <c r="H78" s="12" t="s">
        <v>31</v>
      </c>
      <c r="I78" s="11">
        <f>SUM(I79:I80)</f>
        <v>167560</v>
      </c>
      <c r="J78" s="11">
        <f>SUM(J79:J80)</f>
        <v>472</v>
      </c>
      <c r="K78" s="11">
        <f>SUM(K79:K80)</f>
        <v>493</v>
      </c>
    </row>
    <row r="79" spans="1:11" ht="47.25" customHeight="1">
      <c r="A79" s="88"/>
      <c r="B79" s="88"/>
      <c r="C79" s="91"/>
      <c r="D79" s="85"/>
      <c r="E79" s="88"/>
      <c r="F79" s="88"/>
      <c r="G79" s="44" t="s">
        <v>36</v>
      </c>
      <c r="H79" s="13" t="s">
        <v>35</v>
      </c>
      <c r="I79" s="11">
        <f>143065+7455</f>
        <v>150520</v>
      </c>
      <c r="J79" s="11">
        <f>I79/D78</f>
        <v>424</v>
      </c>
      <c r="K79" s="11">
        <f>423+21</f>
        <v>444</v>
      </c>
    </row>
    <row r="80" spans="1:11" ht="54" customHeight="1">
      <c r="A80" s="88"/>
      <c r="B80" s="88"/>
      <c r="C80" s="91"/>
      <c r="D80" s="85"/>
      <c r="E80" s="88"/>
      <c r="F80" s="88"/>
      <c r="G80" s="44" t="s">
        <v>53</v>
      </c>
      <c r="H80" s="13" t="s">
        <v>35</v>
      </c>
      <c r="I80" s="11">
        <f>9585+7455</f>
        <v>17040</v>
      </c>
      <c r="J80" s="11">
        <f>I80/D78</f>
        <v>48</v>
      </c>
      <c r="K80" s="11">
        <f>28+21</f>
        <v>49</v>
      </c>
    </row>
    <row r="81" spans="1:13" ht="15.75" customHeight="1">
      <c r="A81" s="87">
        <f>A78+1</f>
        <v>16</v>
      </c>
      <c r="B81" s="87">
        <v>4530</v>
      </c>
      <c r="C81" s="90" t="s">
        <v>69</v>
      </c>
      <c r="D81" s="84">
        <v>300.3</v>
      </c>
      <c r="E81" s="87" t="s">
        <v>33</v>
      </c>
      <c r="F81" s="87">
        <v>2</v>
      </c>
      <c r="G81" s="47"/>
      <c r="H81" s="12" t="s">
        <v>31</v>
      </c>
      <c r="I81" s="11">
        <f>SUM(I82:I83)</f>
        <v>141741.6</v>
      </c>
      <c r="J81" s="11">
        <f>SUM(J82:J83)</f>
        <v>472</v>
      </c>
      <c r="K81" s="11">
        <f>SUM(K82:K83)</f>
        <v>493</v>
      </c>
    </row>
    <row r="82" spans="1:13" ht="47.25" customHeight="1">
      <c r="A82" s="88"/>
      <c r="B82" s="88"/>
      <c r="C82" s="91"/>
      <c r="D82" s="85"/>
      <c r="E82" s="88"/>
      <c r="F82" s="88"/>
      <c r="G82" s="44" t="s">
        <v>36</v>
      </c>
      <c r="H82" s="13" t="s">
        <v>35</v>
      </c>
      <c r="I82" s="11">
        <f>121020.9+6306.3</f>
        <v>127327.2</v>
      </c>
      <c r="J82" s="11">
        <f>I82/D81</f>
        <v>424</v>
      </c>
      <c r="K82" s="11">
        <f>423+21</f>
        <v>444</v>
      </c>
    </row>
    <row r="83" spans="1:13" ht="54" customHeight="1">
      <c r="A83" s="88"/>
      <c r="B83" s="88"/>
      <c r="C83" s="91"/>
      <c r="D83" s="85"/>
      <c r="E83" s="88"/>
      <c r="F83" s="88"/>
      <c r="G83" s="44" t="s">
        <v>53</v>
      </c>
      <c r="H83" s="13" t="s">
        <v>35</v>
      </c>
      <c r="I83" s="11">
        <f>8108.1+6306.3</f>
        <v>14414.4</v>
      </c>
      <c r="J83" s="11">
        <f>I83/D81</f>
        <v>48</v>
      </c>
      <c r="K83" s="11">
        <f>28+21</f>
        <v>49</v>
      </c>
    </row>
    <row r="84" spans="1:13" ht="15.6" customHeight="1">
      <c r="A84" s="87">
        <f>A81+1</f>
        <v>17</v>
      </c>
      <c r="B84" s="87">
        <v>4536</v>
      </c>
      <c r="C84" s="90" t="s">
        <v>73</v>
      </c>
      <c r="D84" s="84">
        <v>851.15</v>
      </c>
      <c r="E84" s="87" t="s">
        <v>33</v>
      </c>
      <c r="F84" s="87">
        <v>2</v>
      </c>
      <c r="G84" s="47"/>
      <c r="H84" s="12" t="s">
        <v>31</v>
      </c>
      <c r="I84" s="11">
        <f>SUM(I85:I87)</f>
        <v>481750.9</v>
      </c>
      <c r="J84" s="11">
        <f>SUM(J85:J87)</f>
        <v>566</v>
      </c>
      <c r="K84" s="11">
        <f>SUM(K85:K87)</f>
        <v>590</v>
      </c>
    </row>
    <row r="85" spans="1:13" ht="47.25" customHeight="1">
      <c r="A85" s="88"/>
      <c r="B85" s="88"/>
      <c r="C85" s="91"/>
      <c r="D85" s="85"/>
      <c r="E85" s="88"/>
      <c r="F85" s="88"/>
      <c r="G85" s="44" t="s">
        <v>36</v>
      </c>
      <c r="H85" s="13" t="s">
        <v>35</v>
      </c>
      <c r="I85" s="11">
        <f>343013.45+17874.15</f>
        <v>360887.6</v>
      </c>
      <c r="J85" s="11">
        <f>I85/D84</f>
        <v>424</v>
      </c>
      <c r="K85" s="11">
        <f>423+21</f>
        <v>444</v>
      </c>
    </row>
    <row r="86" spans="1:13" ht="54" customHeight="1">
      <c r="A86" s="88"/>
      <c r="B86" s="88"/>
      <c r="C86" s="91"/>
      <c r="D86" s="85"/>
      <c r="E86" s="88"/>
      <c r="F86" s="88"/>
      <c r="G86" s="44" t="s">
        <v>53</v>
      </c>
      <c r="H86" s="13" t="s">
        <v>35</v>
      </c>
      <c r="I86" s="11">
        <f>22981.05+17874.15</f>
        <v>40855.199999999997</v>
      </c>
      <c r="J86" s="11">
        <f>I86/D84</f>
        <v>48</v>
      </c>
      <c r="K86" s="11">
        <f>28+21</f>
        <v>49</v>
      </c>
    </row>
    <row r="87" spans="1:13" ht="54.75" customHeight="1">
      <c r="A87" s="88"/>
      <c r="B87" s="88"/>
      <c r="C87" s="91"/>
      <c r="D87" s="85"/>
      <c r="E87" s="88"/>
      <c r="F87" s="88"/>
      <c r="G87" s="44" t="s">
        <v>54</v>
      </c>
      <c r="H87" s="13" t="s">
        <v>35</v>
      </c>
      <c r="I87" s="11">
        <f>63836.25+16171.85</f>
        <v>80008.100000000006</v>
      </c>
      <c r="J87" s="11">
        <f>I87/D84</f>
        <v>94</v>
      </c>
      <c r="K87" s="11">
        <f>78+19</f>
        <v>97</v>
      </c>
    </row>
    <row r="88" spans="1:13" ht="15.6" customHeight="1">
      <c r="A88" s="87">
        <f>A84+1</f>
        <v>18</v>
      </c>
      <c r="B88" s="87">
        <v>4459</v>
      </c>
      <c r="C88" s="90" t="s">
        <v>81</v>
      </c>
      <c r="D88" s="84">
        <v>631.03</v>
      </c>
      <c r="E88" s="87" t="s">
        <v>33</v>
      </c>
      <c r="F88" s="87">
        <v>2</v>
      </c>
      <c r="G88" s="47"/>
      <c r="H88" s="12" t="s">
        <v>31</v>
      </c>
      <c r="I88" s="11">
        <f>SUM(I89:I90)</f>
        <v>6119941.0099999998</v>
      </c>
      <c r="J88" s="11">
        <f>SUM(J89:J90)</f>
        <v>9698.34</v>
      </c>
      <c r="K88" s="11">
        <f>SUM(K89:K90)</f>
        <v>18629</v>
      </c>
    </row>
    <row r="89" spans="1:13" ht="27.6" customHeight="1">
      <c r="A89" s="88"/>
      <c r="B89" s="88"/>
      <c r="C89" s="91"/>
      <c r="D89" s="85"/>
      <c r="E89" s="88"/>
      <c r="F89" s="88"/>
      <c r="G89" s="100" t="s">
        <v>29</v>
      </c>
      <c r="H89" s="13" t="s">
        <v>19</v>
      </c>
      <c r="I89" s="11">
        <v>5937277.8600000003</v>
      </c>
      <c r="J89" s="11">
        <f>I89/D88</f>
        <v>9408.8700000000008</v>
      </c>
      <c r="K89" s="11">
        <v>18239</v>
      </c>
    </row>
    <row r="90" spans="1:13" ht="17.100000000000001" customHeight="1">
      <c r="A90" s="89"/>
      <c r="B90" s="89"/>
      <c r="C90" s="92"/>
      <c r="D90" s="86"/>
      <c r="E90" s="89"/>
      <c r="F90" s="89"/>
      <c r="G90" s="94"/>
      <c r="H90" s="13" t="s">
        <v>30</v>
      </c>
      <c r="I90" s="11">
        <v>182663.15</v>
      </c>
      <c r="J90" s="11">
        <f>I90/D88</f>
        <v>289.47000000000003</v>
      </c>
      <c r="K90" s="11">
        <v>390</v>
      </c>
    </row>
    <row r="91" spans="1:13">
      <c r="A91" s="74" t="s">
        <v>62</v>
      </c>
      <c r="B91" s="75"/>
      <c r="C91" s="76"/>
      <c r="D91" s="11">
        <f>D92+D94+D99+D106+D110+D115+D118+D123+D130+D137+D144+D151+D156+D166+D161+D171+D174</f>
        <v>10271.39</v>
      </c>
      <c r="E91" s="11"/>
      <c r="F91" s="11"/>
      <c r="G91" s="47"/>
      <c r="H91" s="12"/>
      <c r="I91" s="11">
        <f>I92+I94+I99+I106+I110+I115+I118+I123+I130+I137+I144+I151+I156+I166+I161+I171+I174</f>
        <v>62064386.049999997</v>
      </c>
      <c r="J91" s="11"/>
      <c r="K91" s="11"/>
    </row>
    <row r="92" spans="1:13">
      <c r="A92" s="101">
        <v>1</v>
      </c>
      <c r="B92" s="101">
        <v>4593</v>
      </c>
      <c r="C92" s="101" t="s">
        <v>99</v>
      </c>
      <c r="D92" s="101">
        <v>977.75</v>
      </c>
      <c r="E92" s="101" t="s">
        <v>33</v>
      </c>
      <c r="F92" s="101">
        <v>2</v>
      </c>
      <c r="G92" s="100" t="s">
        <v>29</v>
      </c>
      <c r="H92" s="12" t="s">
        <v>31</v>
      </c>
      <c r="I92" s="11">
        <f>SUM(I93)</f>
        <v>433143.25</v>
      </c>
      <c r="J92" s="11">
        <f t="shared" ref="J92:K92" si="4">SUM(J93)</f>
        <v>443</v>
      </c>
      <c r="K92" s="11">
        <f t="shared" si="4"/>
        <v>443</v>
      </c>
      <c r="L92" s="1"/>
      <c r="M92" s="1"/>
    </row>
    <row r="93" spans="1:13" ht="57" customHeight="1">
      <c r="A93" s="103"/>
      <c r="B93" s="103"/>
      <c r="C93" s="103"/>
      <c r="D93" s="103"/>
      <c r="E93" s="103"/>
      <c r="F93" s="103"/>
      <c r="G93" s="94"/>
      <c r="H93" s="13" t="s">
        <v>89</v>
      </c>
      <c r="I93" s="11">
        <f>D92*K93</f>
        <v>433143.25</v>
      </c>
      <c r="J93" s="11">
        <f>I93/D92</f>
        <v>443</v>
      </c>
      <c r="K93" s="40">
        <f>347+96</f>
        <v>443</v>
      </c>
      <c r="L93" s="1"/>
      <c r="M93" s="1"/>
    </row>
    <row r="94" spans="1:13" ht="15.75" customHeight="1">
      <c r="A94" s="87">
        <f>A92+1</f>
        <v>2</v>
      </c>
      <c r="B94" s="87">
        <v>4504</v>
      </c>
      <c r="C94" s="90" t="s">
        <v>70</v>
      </c>
      <c r="D94" s="84">
        <v>996.06</v>
      </c>
      <c r="E94" s="87" t="s">
        <v>33</v>
      </c>
      <c r="F94" s="87">
        <v>2</v>
      </c>
      <c r="G94" s="47"/>
      <c r="H94" s="12" t="s">
        <v>31</v>
      </c>
      <c r="I94" s="11">
        <f>SUM(I95:I98)</f>
        <v>5981340.2999999998</v>
      </c>
      <c r="J94" s="11">
        <f>SUM(J95:J98)</f>
        <v>6005</v>
      </c>
      <c r="K94" s="11">
        <f>SUM(K95:K98)</f>
        <v>6005</v>
      </c>
    </row>
    <row r="95" spans="1:13" ht="16.5" customHeight="1">
      <c r="A95" s="88"/>
      <c r="B95" s="88"/>
      <c r="C95" s="91"/>
      <c r="D95" s="85"/>
      <c r="E95" s="88"/>
      <c r="F95" s="88"/>
      <c r="G95" s="93" t="s">
        <v>36</v>
      </c>
      <c r="H95" s="12" t="s">
        <v>19</v>
      </c>
      <c r="I95" s="11">
        <f>D94*K95</f>
        <v>5160586.8600000003</v>
      </c>
      <c r="J95" s="11">
        <f>I95/D94</f>
        <v>5181</v>
      </c>
      <c r="K95" s="11">
        <v>5181</v>
      </c>
    </row>
    <row r="96" spans="1:13" ht="16.5" customHeight="1">
      <c r="A96" s="88"/>
      <c r="B96" s="88"/>
      <c r="C96" s="91"/>
      <c r="D96" s="85"/>
      <c r="E96" s="88"/>
      <c r="F96" s="88"/>
      <c r="G96" s="94"/>
      <c r="H96" s="12" t="s">
        <v>30</v>
      </c>
      <c r="I96" s="11">
        <f>D94*K96</f>
        <v>110562.66</v>
      </c>
      <c r="J96" s="11">
        <f>I96/D94</f>
        <v>111</v>
      </c>
      <c r="K96" s="11">
        <v>111</v>
      </c>
    </row>
    <row r="97" spans="1:13" ht="19.5" customHeight="1">
      <c r="A97" s="88"/>
      <c r="B97" s="88"/>
      <c r="C97" s="91"/>
      <c r="D97" s="85"/>
      <c r="E97" s="88"/>
      <c r="F97" s="88"/>
      <c r="G97" s="93" t="s">
        <v>53</v>
      </c>
      <c r="H97" s="12" t="s">
        <v>19</v>
      </c>
      <c r="I97" s="11">
        <f>D94*K97</f>
        <v>695249.88</v>
      </c>
      <c r="J97" s="11">
        <f>I97/D94</f>
        <v>698</v>
      </c>
      <c r="K97" s="11">
        <v>698</v>
      </c>
    </row>
    <row r="98" spans="1:13" ht="19.5" customHeight="1">
      <c r="A98" s="88"/>
      <c r="B98" s="88"/>
      <c r="C98" s="91"/>
      <c r="D98" s="85"/>
      <c r="E98" s="88"/>
      <c r="F98" s="88"/>
      <c r="G98" s="94"/>
      <c r="H98" s="12" t="s">
        <v>30</v>
      </c>
      <c r="I98" s="11">
        <f>D94*K98</f>
        <v>14940.9</v>
      </c>
      <c r="J98" s="11">
        <f>I98/D94</f>
        <v>15</v>
      </c>
      <c r="K98" s="11">
        <v>15</v>
      </c>
    </row>
    <row r="99" spans="1:13" ht="15.75" customHeight="1">
      <c r="A99" s="87">
        <f>A94+1</f>
        <v>3</v>
      </c>
      <c r="B99" s="87">
        <v>4507</v>
      </c>
      <c r="C99" s="90" t="s">
        <v>78</v>
      </c>
      <c r="D99" s="84">
        <v>862.24</v>
      </c>
      <c r="E99" s="87" t="s">
        <v>33</v>
      </c>
      <c r="F99" s="87">
        <v>2</v>
      </c>
      <c r="G99" s="47"/>
      <c r="H99" s="12" t="s">
        <v>31</v>
      </c>
      <c r="I99" s="11">
        <f>SUM(I100:I105)</f>
        <v>6905680.1600000001</v>
      </c>
      <c r="J99" s="11">
        <f>SUM(J100:J105)</f>
        <v>8009</v>
      </c>
      <c r="K99" s="11">
        <f>SUM(K100:K105)</f>
        <v>8009</v>
      </c>
    </row>
    <row r="100" spans="1:13" ht="16.5" customHeight="1">
      <c r="A100" s="88"/>
      <c r="B100" s="88"/>
      <c r="C100" s="91"/>
      <c r="D100" s="85"/>
      <c r="E100" s="88"/>
      <c r="F100" s="88"/>
      <c r="G100" s="93" t="s">
        <v>36</v>
      </c>
      <c r="H100" s="12" t="s">
        <v>19</v>
      </c>
      <c r="I100" s="11">
        <f>D99*K100</f>
        <v>4467265.4400000004</v>
      </c>
      <c r="J100" s="11">
        <f>I100/D99</f>
        <v>5181</v>
      </c>
      <c r="K100" s="11">
        <v>5181</v>
      </c>
    </row>
    <row r="101" spans="1:13" ht="16.5" customHeight="1">
      <c r="A101" s="88"/>
      <c r="B101" s="88"/>
      <c r="C101" s="91"/>
      <c r="D101" s="85"/>
      <c r="E101" s="88"/>
      <c r="F101" s="88"/>
      <c r="G101" s="94"/>
      <c r="H101" s="12" t="s">
        <v>30</v>
      </c>
      <c r="I101" s="11">
        <f>D99*K101</f>
        <v>95708.64</v>
      </c>
      <c r="J101" s="11">
        <f>I101/D99</f>
        <v>111</v>
      </c>
      <c r="K101" s="11">
        <v>111</v>
      </c>
    </row>
    <row r="102" spans="1:13" ht="19.5" customHeight="1">
      <c r="A102" s="88"/>
      <c r="B102" s="88"/>
      <c r="C102" s="91"/>
      <c r="D102" s="85"/>
      <c r="E102" s="88"/>
      <c r="F102" s="88"/>
      <c r="G102" s="93" t="s">
        <v>53</v>
      </c>
      <c r="H102" s="12" t="s">
        <v>19</v>
      </c>
      <c r="I102" s="11">
        <f>D99*K102</f>
        <v>601843.52</v>
      </c>
      <c r="J102" s="11">
        <f>I102/D99</f>
        <v>698</v>
      </c>
      <c r="K102" s="11">
        <v>698</v>
      </c>
    </row>
    <row r="103" spans="1:13" ht="19.5" customHeight="1">
      <c r="A103" s="88"/>
      <c r="B103" s="88"/>
      <c r="C103" s="91"/>
      <c r="D103" s="85"/>
      <c r="E103" s="88"/>
      <c r="F103" s="88"/>
      <c r="G103" s="94"/>
      <c r="H103" s="12" t="s">
        <v>30</v>
      </c>
      <c r="I103" s="11">
        <f>D99*K103</f>
        <v>12933.6</v>
      </c>
      <c r="J103" s="11">
        <f>I103/D99</f>
        <v>15</v>
      </c>
      <c r="K103" s="11">
        <v>15</v>
      </c>
    </row>
    <row r="104" spans="1:13" ht="16.5" customHeight="1">
      <c r="A104" s="88"/>
      <c r="B104" s="88"/>
      <c r="C104" s="91"/>
      <c r="D104" s="85"/>
      <c r="E104" s="88"/>
      <c r="F104" s="88"/>
      <c r="G104" s="93" t="s">
        <v>54</v>
      </c>
      <c r="H104" s="12" t="s">
        <v>19</v>
      </c>
      <c r="I104" s="11">
        <f>D99*K104</f>
        <v>1691714.88</v>
      </c>
      <c r="J104" s="11">
        <f>I104/D99</f>
        <v>1962</v>
      </c>
      <c r="K104" s="11">
        <v>1962</v>
      </c>
    </row>
    <row r="105" spans="1:13" ht="19.5" customHeight="1">
      <c r="A105" s="89"/>
      <c r="B105" s="89"/>
      <c r="C105" s="92"/>
      <c r="D105" s="86"/>
      <c r="E105" s="89"/>
      <c r="F105" s="89"/>
      <c r="G105" s="94"/>
      <c r="H105" s="12" t="s">
        <v>30</v>
      </c>
      <c r="I105" s="11">
        <f>D99*K105</f>
        <v>36214.080000000002</v>
      </c>
      <c r="J105" s="11">
        <f>I105/D99</f>
        <v>42</v>
      </c>
      <c r="K105" s="11">
        <v>42</v>
      </c>
    </row>
    <row r="106" spans="1:13">
      <c r="A106" s="101">
        <f>A99+1</f>
        <v>4</v>
      </c>
      <c r="B106" s="101">
        <v>4407</v>
      </c>
      <c r="C106" s="101" t="s">
        <v>103</v>
      </c>
      <c r="D106" s="101">
        <v>1089.2</v>
      </c>
      <c r="E106" s="101" t="s">
        <v>33</v>
      </c>
      <c r="F106" s="101">
        <v>3</v>
      </c>
      <c r="G106" s="47"/>
      <c r="H106" s="12" t="s">
        <v>31</v>
      </c>
      <c r="I106" s="11">
        <f>SUM(I107:I109)</f>
        <v>615398</v>
      </c>
      <c r="J106" s="11">
        <f t="shared" ref="J106:K106" si="5">SUM(J107:J109)</f>
        <v>565</v>
      </c>
      <c r="K106" s="11">
        <f t="shared" si="5"/>
        <v>565</v>
      </c>
      <c r="L106" s="1"/>
      <c r="M106" s="1"/>
    </row>
    <row r="107" spans="1:13" ht="57" customHeight="1">
      <c r="A107" s="102"/>
      <c r="B107" s="102"/>
      <c r="C107" s="102"/>
      <c r="D107" s="102"/>
      <c r="E107" s="102"/>
      <c r="F107" s="102"/>
      <c r="G107" s="47" t="s">
        <v>36</v>
      </c>
      <c r="H107" s="13" t="s">
        <v>35</v>
      </c>
      <c r="I107" s="11">
        <f>D106*K107</f>
        <v>483604.8</v>
      </c>
      <c r="J107" s="11">
        <f>I107/D106</f>
        <v>444</v>
      </c>
      <c r="K107" s="40">
        <f>423+21</f>
        <v>444</v>
      </c>
      <c r="L107" s="1"/>
      <c r="M107" s="1"/>
    </row>
    <row r="108" spans="1:13" ht="57" customHeight="1">
      <c r="A108" s="102"/>
      <c r="B108" s="102"/>
      <c r="C108" s="102"/>
      <c r="D108" s="102"/>
      <c r="E108" s="102"/>
      <c r="F108" s="102"/>
      <c r="G108" s="47" t="s">
        <v>53</v>
      </c>
      <c r="H108" s="13" t="s">
        <v>35</v>
      </c>
      <c r="I108" s="11">
        <f>D106*K108</f>
        <v>39211.199999999997</v>
      </c>
      <c r="J108" s="11">
        <f>I108/D106</f>
        <v>36</v>
      </c>
      <c r="K108" s="40">
        <f>28+8</f>
        <v>36</v>
      </c>
      <c r="L108" s="1"/>
      <c r="M108" s="1"/>
    </row>
    <row r="109" spans="1:13" ht="57" customHeight="1">
      <c r="A109" s="103"/>
      <c r="B109" s="103"/>
      <c r="C109" s="103"/>
      <c r="D109" s="103"/>
      <c r="E109" s="103"/>
      <c r="F109" s="103"/>
      <c r="G109" s="47" t="s">
        <v>54</v>
      </c>
      <c r="H109" s="13" t="s">
        <v>35</v>
      </c>
      <c r="I109" s="11">
        <f>D106*K109</f>
        <v>92582</v>
      </c>
      <c r="J109" s="11">
        <f>I109/D106</f>
        <v>85</v>
      </c>
      <c r="K109" s="40">
        <f>78+7</f>
        <v>85</v>
      </c>
      <c r="L109" s="1"/>
      <c r="M109" s="1"/>
    </row>
    <row r="110" spans="1:13" ht="15.75" customHeight="1">
      <c r="A110" s="87">
        <f>A106+1</f>
        <v>5</v>
      </c>
      <c r="B110" s="87">
        <v>4607</v>
      </c>
      <c r="C110" s="90" t="s">
        <v>72</v>
      </c>
      <c r="D110" s="84">
        <v>242.2</v>
      </c>
      <c r="E110" s="87" t="s">
        <v>32</v>
      </c>
      <c r="F110" s="87">
        <v>1</v>
      </c>
      <c r="G110" s="47"/>
      <c r="H110" s="12" t="s">
        <v>31</v>
      </c>
      <c r="I110" s="11">
        <f>SUM(I111:I114)</f>
        <v>6325295.2000000002</v>
      </c>
      <c r="J110" s="11">
        <f>SUM(J111:J114)</f>
        <v>26116</v>
      </c>
      <c r="K110" s="11">
        <f>SUM(K111:K114)</f>
        <v>26116</v>
      </c>
    </row>
    <row r="111" spans="1:13" ht="16.5" customHeight="1">
      <c r="A111" s="88"/>
      <c r="B111" s="88"/>
      <c r="C111" s="91"/>
      <c r="D111" s="85"/>
      <c r="E111" s="88"/>
      <c r="F111" s="88"/>
      <c r="G111" s="93" t="s">
        <v>29</v>
      </c>
      <c r="H111" s="12" t="s">
        <v>19</v>
      </c>
      <c r="I111" s="11">
        <f>D110*K111</f>
        <v>4417485.8</v>
      </c>
      <c r="J111" s="11">
        <f>I111/D110</f>
        <v>18239</v>
      </c>
      <c r="K111" s="11">
        <v>18239</v>
      </c>
    </row>
    <row r="112" spans="1:13" ht="16.5" customHeight="1">
      <c r="A112" s="88"/>
      <c r="B112" s="88"/>
      <c r="C112" s="91"/>
      <c r="D112" s="85"/>
      <c r="E112" s="88"/>
      <c r="F112" s="88"/>
      <c r="G112" s="94"/>
      <c r="H112" s="12" t="s">
        <v>30</v>
      </c>
      <c r="I112" s="11">
        <f>D110*K112</f>
        <v>94458</v>
      </c>
      <c r="J112" s="11">
        <f>I112/D110</f>
        <v>390</v>
      </c>
      <c r="K112" s="11">
        <v>390</v>
      </c>
    </row>
    <row r="113" spans="1:11" ht="47.25" customHeight="1">
      <c r="A113" s="88"/>
      <c r="B113" s="88"/>
      <c r="C113" s="91"/>
      <c r="D113" s="85"/>
      <c r="E113" s="88"/>
      <c r="F113" s="88"/>
      <c r="G113" s="93" t="s">
        <v>90</v>
      </c>
      <c r="H113" s="12" t="s">
        <v>19</v>
      </c>
      <c r="I113" s="11">
        <f>D110*K113</f>
        <v>1775326</v>
      </c>
      <c r="J113" s="11">
        <f>I113/D110</f>
        <v>7330</v>
      </c>
      <c r="K113" s="11">
        <v>7330</v>
      </c>
    </row>
    <row r="114" spans="1:11" ht="47.25" customHeight="1">
      <c r="A114" s="88"/>
      <c r="B114" s="88"/>
      <c r="C114" s="91"/>
      <c r="D114" s="85"/>
      <c r="E114" s="88"/>
      <c r="F114" s="88"/>
      <c r="G114" s="94"/>
      <c r="H114" s="12" t="s">
        <v>30</v>
      </c>
      <c r="I114" s="11">
        <f>D110*K114</f>
        <v>38025.4</v>
      </c>
      <c r="J114" s="11">
        <f>I114/D110</f>
        <v>157</v>
      </c>
      <c r="K114" s="11">
        <v>157</v>
      </c>
    </row>
    <row r="115" spans="1:11" ht="15.75" customHeight="1">
      <c r="A115" s="87">
        <f>A110+1</f>
        <v>6</v>
      </c>
      <c r="B115" s="87">
        <v>4608</v>
      </c>
      <c r="C115" s="90" t="s">
        <v>66</v>
      </c>
      <c r="D115" s="84">
        <v>330.3</v>
      </c>
      <c r="E115" s="87" t="s">
        <v>32</v>
      </c>
      <c r="F115" s="87">
        <v>1</v>
      </c>
      <c r="G115" s="47"/>
      <c r="H115" s="12" t="s">
        <v>31</v>
      </c>
      <c r="I115" s="11">
        <f>SUM(I116:I117)</f>
        <v>6153158.7000000002</v>
      </c>
      <c r="J115" s="11">
        <f>SUM(J116:J117)</f>
        <v>18629</v>
      </c>
      <c r="K115" s="11">
        <f>SUM(K116:K117)</f>
        <v>18629</v>
      </c>
    </row>
    <row r="116" spans="1:11" ht="16.5" customHeight="1">
      <c r="A116" s="88"/>
      <c r="B116" s="88"/>
      <c r="C116" s="91"/>
      <c r="D116" s="85"/>
      <c r="E116" s="88"/>
      <c r="F116" s="88"/>
      <c r="G116" s="93" t="s">
        <v>29</v>
      </c>
      <c r="H116" s="12" t="s">
        <v>19</v>
      </c>
      <c r="I116" s="11">
        <f>D115*K116</f>
        <v>6024341.7000000002</v>
      </c>
      <c r="J116" s="11">
        <f>I116/D115</f>
        <v>18239</v>
      </c>
      <c r="K116" s="11">
        <v>18239</v>
      </c>
    </row>
    <row r="117" spans="1:11" ht="16.5" customHeight="1">
      <c r="A117" s="88"/>
      <c r="B117" s="88"/>
      <c r="C117" s="91"/>
      <c r="D117" s="85"/>
      <c r="E117" s="88"/>
      <c r="F117" s="88"/>
      <c r="G117" s="94"/>
      <c r="H117" s="12" t="s">
        <v>30</v>
      </c>
      <c r="I117" s="11">
        <f>D115*K117</f>
        <v>128817</v>
      </c>
      <c r="J117" s="11">
        <f>I117/D115</f>
        <v>390</v>
      </c>
      <c r="K117" s="11">
        <v>390</v>
      </c>
    </row>
    <row r="118" spans="1:11" ht="15.75" customHeight="1">
      <c r="A118" s="87">
        <f>A115+1</f>
        <v>7</v>
      </c>
      <c r="B118" s="87">
        <v>4550</v>
      </c>
      <c r="C118" s="90" t="s">
        <v>91</v>
      </c>
      <c r="D118" s="84">
        <v>1003.2</v>
      </c>
      <c r="E118" s="87" t="s">
        <v>33</v>
      </c>
      <c r="F118" s="87">
        <v>2</v>
      </c>
      <c r="G118" s="47"/>
      <c r="H118" s="12" t="s">
        <v>31</v>
      </c>
      <c r="I118" s="11">
        <f>SUM(I119:I122)</f>
        <v>5354078.4000000004</v>
      </c>
      <c r="J118" s="11">
        <f>SUM(J119:J122)</f>
        <v>5337</v>
      </c>
      <c r="K118" s="11">
        <f>SUM(K119:K122)</f>
        <v>5337</v>
      </c>
    </row>
    <row r="119" spans="1:11" ht="16.5" customHeight="1">
      <c r="A119" s="88"/>
      <c r="B119" s="88"/>
      <c r="C119" s="91"/>
      <c r="D119" s="85"/>
      <c r="E119" s="88"/>
      <c r="F119" s="88"/>
      <c r="G119" s="93" t="s">
        <v>36</v>
      </c>
      <c r="H119" s="12" t="s">
        <v>19</v>
      </c>
      <c r="I119" s="11">
        <f>D118*K119</f>
        <v>4541486.4000000004</v>
      </c>
      <c r="J119" s="11">
        <f>I119/D118</f>
        <v>4527</v>
      </c>
      <c r="K119" s="11">
        <v>4527</v>
      </c>
    </row>
    <row r="120" spans="1:11" ht="16.5" customHeight="1">
      <c r="A120" s="88"/>
      <c r="B120" s="88"/>
      <c r="C120" s="91"/>
      <c r="D120" s="85"/>
      <c r="E120" s="88"/>
      <c r="F120" s="88"/>
      <c r="G120" s="94"/>
      <c r="H120" s="12" t="s">
        <v>30</v>
      </c>
      <c r="I120" s="11">
        <f>D118*K120</f>
        <v>97310.399999999994</v>
      </c>
      <c r="J120" s="11">
        <f>I120/D118</f>
        <v>97</v>
      </c>
      <c r="K120" s="11">
        <v>97</v>
      </c>
    </row>
    <row r="121" spans="1:11" ht="19.5" customHeight="1">
      <c r="A121" s="88"/>
      <c r="B121" s="88"/>
      <c r="C121" s="91"/>
      <c r="D121" s="85"/>
      <c r="E121" s="88"/>
      <c r="F121" s="88"/>
      <c r="G121" s="93" t="s">
        <v>53</v>
      </c>
      <c r="H121" s="12" t="s">
        <v>19</v>
      </c>
      <c r="I121" s="11">
        <f>D118*K121</f>
        <v>700233.6</v>
      </c>
      <c r="J121" s="11">
        <f>I121/D118</f>
        <v>698</v>
      </c>
      <c r="K121" s="11">
        <v>698</v>
      </c>
    </row>
    <row r="122" spans="1:11" ht="19.5" customHeight="1">
      <c r="A122" s="88"/>
      <c r="B122" s="88"/>
      <c r="C122" s="91"/>
      <c r="D122" s="85"/>
      <c r="E122" s="88"/>
      <c r="F122" s="88"/>
      <c r="G122" s="94"/>
      <c r="H122" s="12" t="s">
        <v>30</v>
      </c>
      <c r="I122" s="11">
        <f>D118*K122</f>
        <v>15048</v>
      </c>
      <c r="J122" s="11">
        <f>I122/D118</f>
        <v>15</v>
      </c>
      <c r="K122" s="11">
        <v>15</v>
      </c>
    </row>
    <row r="123" spans="1:11" ht="15.75" customHeight="1">
      <c r="A123" s="87">
        <f>A118+1</f>
        <v>8</v>
      </c>
      <c r="B123" s="87">
        <v>4416</v>
      </c>
      <c r="C123" s="90" t="s">
        <v>67</v>
      </c>
      <c r="D123" s="84">
        <v>486.7</v>
      </c>
      <c r="E123" s="87" t="s">
        <v>33</v>
      </c>
      <c r="F123" s="87">
        <v>2</v>
      </c>
      <c r="G123" s="47"/>
      <c r="H123" s="12" t="s">
        <v>31</v>
      </c>
      <c r="I123" s="11">
        <f>SUM(I124:I129)</f>
        <v>3897980.3</v>
      </c>
      <c r="J123" s="11">
        <f t="shared" ref="J123:K123" si="6">SUM(J124:J129)</f>
        <v>8009</v>
      </c>
      <c r="K123" s="11">
        <f t="shared" si="6"/>
        <v>8009</v>
      </c>
    </row>
    <row r="124" spans="1:11" ht="16.5" customHeight="1">
      <c r="A124" s="88"/>
      <c r="B124" s="88"/>
      <c r="C124" s="91"/>
      <c r="D124" s="85"/>
      <c r="E124" s="88"/>
      <c r="F124" s="88"/>
      <c r="G124" s="93" t="s">
        <v>36</v>
      </c>
      <c r="H124" s="12" t="s">
        <v>19</v>
      </c>
      <c r="I124" s="11">
        <f>D123*K124</f>
        <v>2521592.7000000002</v>
      </c>
      <c r="J124" s="11">
        <f>I124/D123</f>
        <v>5181</v>
      </c>
      <c r="K124" s="11">
        <v>5181</v>
      </c>
    </row>
    <row r="125" spans="1:11" ht="16.5" customHeight="1">
      <c r="A125" s="88"/>
      <c r="B125" s="88"/>
      <c r="C125" s="91"/>
      <c r="D125" s="85"/>
      <c r="E125" s="88"/>
      <c r="F125" s="88"/>
      <c r="G125" s="94"/>
      <c r="H125" s="12" t="s">
        <v>30</v>
      </c>
      <c r="I125" s="11">
        <f>D123*K125</f>
        <v>54023.7</v>
      </c>
      <c r="J125" s="11">
        <f>I125/D123</f>
        <v>111</v>
      </c>
      <c r="K125" s="11">
        <v>111</v>
      </c>
    </row>
    <row r="126" spans="1:11" ht="19.5" customHeight="1">
      <c r="A126" s="88"/>
      <c r="B126" s="88"/>
      <c r="C126" s="91"/>
      <c r="D126" s="85"/>
      <c r="E126" s="88"/>
      <c r="F126" s="88"/>
      <c r="G126" s="93" t="s">
        <v>53</v>
      </c>
      <c r="H126" s="12" t="s">
        <v>19</v>
      </c>
      <c r="I126" s="11">
        <f>D123*K126</f>
        <v>339716.6</v>
      </c>
      <c r="J126" s="11">
        <f>I126/D123</f>
        <v>698</v>
      </c>
      <c r="K126" s="11">
        <v>698</v>
      </c>
    </row>
    <row r="127" spans="1:11" ht="19.5" customHeight="1">
      <c r="A127" s="88"/>
      <c r="B127" s="88"/>
      <c r="C127" s="91"/>
      <c r="D127" s="85"/>
      <c r="E127" s="88"/>
      <c r="F127" s="88"/>
      <c r="G127" s="94"/>
      <c r="H127" s="12" t="s">
        <v>30</v>
      </c>
      <c r="I127" s="11">
        <f>D123*K127</f>
        <v>7300.5</v>
      </c>
      <c r="J127" s="11">
        <f>I127/D123</f>
        <v>15</v>
      </c>
      <c r="K127" s="11">
        <v>15</v>
      </c>
    </row>
    <row r="128" spans="1:11" ht="19.5" customHeight="1">
      <c r="A128" s="88"/>
      <c r="B128" s="88"/>
      <c r="C128" s="91"/>
      <c r="D128" s="85"/>
      <c r="E128" s="88"/>
      <c r="F128" s="88"/>
      <c r="G128" s="93" t="s">
        <v>54</v>
      </c>
      <c r="H128" s="12" t="s">
        <v>19</v>
      </c>
      <c r="I128" s="11">
        <f>D123*K128</f>
        <v>954905.4</v>
      </c>
      <c r="J128" s="11">
        <f>I128/D123</f>
        <v>1962</v>
      </c>
      <c r="K128" s="11">
        <v>1962</v>
      </c>
    </row>
    <row r="129" spans="1:11" ht="19.5" customHeight="1">
      <c r="A129" s="89"/>
      <c r="B129" s="89"/>
      <c r="C129" s="92"/>
      <c r="D129" s="86"/>
      <c r="E129" s="89"/>
      <c r="F129" s="89"/>
      <c r="G129" s="94"/>
      <c r="H129" s="12" t="s">
        <v>30</v>
      </c>
      <c r="I129" s="11">
        <f>D123*K129</f>
        <v>20441.400000000001</v>
      </c>
      <c r="J129" s="11">
        <f>I129/D123</f>
        <v>42</v>
      </c>
      <c r="K129" s="11">
        <v>42</v>
      </c>
    </row>
    <row r="130" spans="1:11" ht="15.75" customHeight="1">
      <c r="A130" s="87">
        <f>A123+1</f>
        <v>9</v>
      </c>
      <c r="B130" s="87">
        <v>4417</v>
      </c>
      <c r="C130" s="90" t="s">
        <v>71</v>
      </c>
      <c r="D130" s="84">
        <v>495.73</v>
      </c>
      <c r="E130" s="87" t="s">
        <v>33</v>
      </c>
      <c r="F130" s="87">
        <v>2</v>
      </c>
      <c r="G130" s="47"/>
      <c r="H130" s="12" t="s">
        <v>31</v>
      </c>
      <c r="I130" s="11">
        <f>SUM(I131:I136)</f>
        <v>3970301.57</v>
      </c>
      <c r="J130" s="11">
        <f t="shared" ref="J130:K130" si="7">SUM(J131:J136)</f>
        <v>8009</v>
      </c>
      <c r="K130" s="11">
        <f t="shared" si="7"/>
        <v>8009</v>
      </c>
    </row>
    <row r="131" spans="1:11" ht="16.5" customHeight="1">
      <c r="A131" s="88"/>
      <c r="B131" s="88"/>
      <c r="C131" s="91"/>
      <c r="D131" s="85"/>
      <c r="E131" s="88"/>
      <c r="F131" s="88"/>
      <c r="G131" s="93" t="s">
        <v>36</v>
      </c>
      <c r="H131" s="12" t="s">
        <v>19</v>
      </c>
      <c r="I131" s="11">
        <f>D130*K131</f>
        <v>2568377.13</v>
      </c>
      <c r="J131" s="11">
        <f>I131/D130</f>
        <v>5181</v>
      </c>
      <c r="K131" s="11">
        <v>5181</v>
      </c>
    </row>
    <row r="132" spans="1:11" ht="16.5" customHeight="1">
      <c r="A132" s="88"/>
      <c r="B132" s="88"/>
      <c r="C132" s="91"/>
      <c r="D132" s="85"/>
      <c r="E132" s="88"/>
      <c r="F132" s="88"/>
      <c r="G132" s="94"/>
      <c r="H132" s="12" t="s">
        <v>30</v>
      </c>
      <c r="I132" s="11">
        <f>D130*K132</f>
        <v>55026.03</v>
      </c>
      <c r="J132" s="11">
        <f>I132/D130</f>
        <v>111</v>
      </c>
      <c r="K132" s="11">
        <v>111</v>
      </c>
    </row>
    <row r="133" spans="1:11" ht="19.5" customHeight="1">
      <c r="A133" s="88"/>
      <c r="B133" s="88"/>
      <c r="C133" s="91"/>
      <c r="D133" s="85"/>
      <c r="E133" s="88"/>
      <c r="F133" s="88"/>
      <c r="G133" s="93" t="s">
        <v>53</v>
      </c>
      <c r="H133" s="12" t="s">
        <v>19</v>
      </c>
      <c r="I133" s="11">
        <f>D130*K133</f>
        <v>346019.54</v>
      </c>
      <c r="J133" s="11">
        <f>I133/D130</f>
        <v>698</v>
      </c>
      <c r="K133" s="11">
        <v>698</v>
      </c>
    </row>
    <row r="134" spans="1:11" ht="19.5" customHeight="1">
      <c r="A134" s="88"/>
      <c r="B134" s="88"/>
      <c r="C134" s="91"/>
      <c r="D134" s="85"/>
      <c r="E134" s="88"/>
      <c r="F134" s="88"/>
      <c r="G134" s="94"/>
      <c r="H134" s="12" t="s">
        <v>30</v>
      </c>
      <c r="I134" s="11">
        <f>D130*K134</f>
        <v>7435.95</v>
      </c>
      <c r="J134" s="11">
        <f>I134/D130</f>
        <v>15</v>
      </c>
      <c r="K134" s="11">
        <v>15</v>
      </c>
    </row>
    <row r="135" spans="1:11" ht="19.5" customHeight="1">
      <c r="A135" s="88"/>
      <c r="B135" s="88"/>
      <c r="C135" s="91"/>
      <c r="D135" s="85"/>
      <c r="E135" s="88"/>
      <c r="F135" s="88"/>
      <c r="G135" s="93" t="s">
        <v>54</v>
      </c>
      <c r="H135" s="12" t="s">
        <v>19</v>
      </c>
      <c r="I135" s="11">
        <f>D130*K135</f>
        <v>972622.26</v>
      </c>
      <c r="J135" s="11">
        <f>I135/D130</f>
        <v>1962</v>
      </c>
      <c r="K135" s="11">
        <v>1962</v>
      </c>
    </row>
    <row r="136" spans="1:11" ht="19.5" customHeight="1">
      <c r="A136" s="89"/>
      <c r="B136" s="89"/>
      <c r="C136" s="92"/>
      <c r="D136" s="86"/>
      <c r="E136" s="89"/>
      <c r="F136" s="89"/>
      <c r="G136" s="94"/>
      <c r="H136" s="12" t="s">
        <v>30</v>
      </c>
      <c r="I136" s="11">
        <f>D130*K136</f>
        <v>20820.66</v>
      </c>
      <c r="J136" s="11">
        <f>I136/D130</f>
        <v>42</v>
      </c>
      <c r="K136" s="11">
        <v>42</v>
      </c>
    </row>
    <row r="137" spans="1:11" ht="15.75" customHeight="1">
      <c r="A137" s="87">
        <f>A130+1</f>
        <v>10</v>
      </c>
      <c r="B137" s="87">
        <v>4418</v>
      </c>
      <c r="C137" s="90" t="s">
        <v>68</v>
      </c>
      <c r="D137" s="84">
        <v>499.8</v>
      </c>
      <c r="E137" s="87" t="s">
        <v>33</v>
      </c>
      <c r="F137" s="87">
        <v>2</v>
      </c>
      <c r="G137" s="47"/>
      <c r="H137" s="12" t="s">
        <v>31</v>
      </c>
      <c r="I137" s="11">
        <f>SUM(I138:I143)</f>
        <v>4002898.2</v>
      </c>
      <c r="J137" s="11">
        <f t="shared" ref="J137:K137" si="8">SUM(J138:J143)</f>
        <v>8009</v>
      </c>
      <c r="K137" s="11">
        <f t="shared" si="8"/>
        <v>8009</v>
      </c>
    </row>
    <row r="138" spans="1:11" ht="16.5" customHeight="1">
      <c r="A138" s="88"/>
      <c r="B138" s="88"/>
      <c r="C138" s="91"/>
      <c r="D138" s="85"/>
      <c r="E138" s="88"/>
      <c r="F138" s="88"/>
      <c r="G138" s="93" t="s">
        <v>36</v>
      </c>
      <c r="H138" s="12" t="s">
        <v>19</v>
      </c>
      <c r="I138" s="11">
        <f>D137*K138</f>
        <v>2589463.7999999998</v>
      </c>
      <c r="J138" s="11">
        <f>I138/D137</f>
        <v>5181</v>
      </c>
      <c r="K138" s="11">
        <v>5181</v>
      </c>
    </row>
    <row r="139" spans="1:11" ht="16.5" customHeight="1">
      <c r="A139" s="88"/>
      <c r="B139" s="88"/>
      <c r="C139" s="91"/>
      <c r="D139" s="85"/>
      <c r="E139" s="88"/>
      <c r="F139" s="88"/>
      <c r="G139" s="94"/>
      <c r="H139" s="12" t="s">
        <v>30</v>
      </c>
      <c r="I139" s="11">
        <f>D137*K139</f>
        <v>55477.8</v>
      </c>
      <c r="J139" s="11">
        <f>I139/D137</f>
        <v>111</v>
      </c>
      <c r="K139" s="11">
        <v>111</v>
      </c>
    </row>
    <row r="140" spans="1:11" ht="19.5" customHeight="1">
      <c r="A140" s="88"/>
      <c r="B140" s="88"/>
      <c r="C140" s="91"/>
      <c r="D140" s="85"/>
      <c r="E140" s="88"/>
      <c r="F140" s="88"/>
      <c r="G140" s="93" t="s">
        <v>53</v>
      </c>
      <c r="H140" s="12" t="s">
        <v>19</v>
      </c>
      <c r="I140" s="11">
        <f>D137*K140</f>
        <v>348860.4</v>
      </c>
      <c r="J140" s="11">
        <f>I140/D137</f>
        <v>698</v>
      </c>
      <c r="K140" s="11">
        <v>698</v>
      </c>
    </row>
    <row r="141" spans="1:11" ht="19.5" customHeight="1">
      <c r="A141" s="88"/>
      <c r="B141" s="88"/>
      <c r="C141" s="91"/>
      <c r="D141" s="85"/>
      <c r="E141" s="88"/>
      <c r="F141" s="88"/>
      <c r="G141" s="94"/>
      <c r="H141" s="12" t="s">
        <v>30</v>
      </c>
      <c r="I141" s="11">
        <f>D137*K141</f>
        <v>7497</v>
      </c>
      <c r="J141" s="11">
        <f>I141/D137</f>
        <v>15</v>
      </c>
      <c r="K141" s="11">
        <v>15</v>
      </c>
    </row>
    <row r="142" spans="1:11" ht="19.5" customHeight="1">
      <c r="A142" s="88"/>
      <c r="B142" s="88"/>
      <c r="C142" s="91"/>
      <c r="D142" s="85"/>
      <c r="E142" s="88"/>
      <c r="F142" s="88"/>
      <c r="G142" s="93" t="s">
        <v>54</v>
      </c>
      <c r="H142" s="12" t="s">
        <v>19</v>
      </c>
      <c r="I142" s="11">
        <f>D137*K142</f>
        <v>980607.6</v>
      </c>
      <c r="J142" s="11">
        <f>I142/D137</f>
        <v>1962</v>
      </c>
      <c r="K142" s="11">
        <v>1962</v>
      </c>
    </row>
    <row r="143" spans="1:11" ht="19.5" customHeight="1">
      <c r="A143" s="89"/>
      <c r="B143" s="89"/>
      <c r="C143" s="92"/>
      <c r="D143" s="86"/>
      <c r="E143" s="89"/>
      <c r="F143" s="89"/>
      <c r="G143" s="94"/>
      <c r="H143" s="12" t="s">
        <v>30</v>
      </c>
      <c r="I143" s="11">
        <f>D137*K143</f>
        <v>20991.599999999999</v>
      </c>
      <c r="J143" s="11">
        <f>I143/D137</f>
        <v>42</v>
      </c>
      <c r="K143" s="11">
        <v>42</v>
      </c>
    </row>
    <row r="144" spans="1:11" ht="15.75" customHeight="1">
      <c r="A144" s="87">
        <f>A137+1</f>
        <v>11</v>
      </c>
      <c r="B144" s="87">
        <v>4400</v>
      </c>
      <c r="C144" s="90" t="s">
        <v>65</v>
      </c>
      <c r="D144" s="84">
        <v>390.28</v>
      </c>
      <c r="E144" s="87" t="s">
        <v>33</v>
      </c>
      <c r="F144" s="87">
        <v>2</v>
      </c>
      <c r="G144" s="47"/>
      <c r="H144" s="12" t="s">
        <v>31</v>
      </c>
      <c r="I144" s="11">
        <f>SUM(I145:I150)</f>
        <v>3125752.52</v>
      </c>
      <c r="J144" s="11">
        <f>SUM(J145:J150)</f>
        <v>8009</v>
      </c>
      <c r="K144" s="11">
        <f>SUM(K145:K150)</f>
        <v>8009</v>
      </c>
    </row>
    <row r="145" spans="1:11" ht="16.5" customHeight="1">
      <c r="A145" s="88"/>
      <c r="B145" s="88"/>
      <c r="C145" s="91"/>
      <c r="D145" s="85"/>
      <c r="E145" s="88"/>
      <c r="F145" s="88"/>
      <c r="G145" s="93" t="s">
        <v>36</v>
      </c>
      <c r="H145" s="12" t="s">
        <v>19</v>
      </c>
      <c r="I145" s="11">
        <f>D144*K145</f>
        <v>2022040.68</v>
      </c>
      <c r="J145" s="11">
        <f>I145/D144</f>
        <v>5181</v>
      </c>
      <c r="K145" s="11">
        <v>5181</v>
      </c>
    </row>
    <row r="146" spans="1:11" ht="16.5" customHeight="1">
      <c r="A146" s="88"/>
      <c r="B146" s="88"/>
      <c r="C146" s="91"/>
      <c r="D146" s="85"/>
      <c r="E146" s="88"/>
      <c r="F146" s="88"/>
      <c r="G146" s="94"/>
      <c r="H146" s="12" t="s">
        <v>30</v>
      </c>
      <c r="I146" s="11">
        <f>D144*K146</f>
        <v>43321.08</v>
      </c>
      <c r="J146" s="11">
        <f>I146/D144</f>
        <v>111</v>
      </c>
      <c r="K146" s="11">
        <v>111</v>
      </c>
    </row>
    <row r="147" spans="1:11" ht="19.5" customHeight="1">
      <c r="A147" s="88"/>
      <c r="B147" s="88"/>
      <c r="C147" s="91"/>
      <c r="D147" s="85"/>
      <c r="E147" s="88"/>
      <c r="F147" s="88"/>
      <c r="G147" s="93" t="s">
        <v>53</v>
      </c>
      <c r="H147" s="12" t="s">
        <v>19</v>
      </c>
      <c r="I147" s="11">
        <f>D144*K147</f>
        <v>272415.44</v>
      </c>
      <c r="J147" s="11">
        <f>I147/D144</f>
        <v>698</v>
      </c>
      <c r="K147" s="11">
        <v>698</v>
      </c>
    </row>
    <row r="148" spans="1:11" ht="19.5" customHeight="1">
      <c r="A148" s="88"/>
      <c r="B148" s="88"/>
      <c r="C148" s="91"/>
      <c r="D148" s="85"/>
      <c r="E148" s="88"/>
      <c r="F148" s="88"/>
      <c r="G148" s="94"/>
      <c r="H148" s="12" t="s">
        <v>30</v>
      </c>
      <c r="I148" s="11">
        <f>D144*K148</f>
        <v>5854.2</v>
      </c>
      <c r="J148" s="11">
        <f>I148/D144</f>
        <v>15</v>
      </c>
      <c r="K148" s="11">
        <v>15</v>
      </c>
    </row>
    <row r="149" spans="1:11" ht="16.5" customHeight="1">
      <c r="A149" s="88"/>
      <c r="B149" s="88"/>
      <c r="C149" s="91"/>
      <c r="D149" s="85"/>
      <c r="E149" s="88"/>
      <c r="F149" s="88"/>
      <c r="G149" s="93" t="s">
        <v>54</v>
      </c>
      <c r="H149" s="12" t="s">
        <v>19</v>
      </c>
      <c r="I149" s="11">
        <f>D144*K149</f>
        <v>765729.36</v>
      </c>
      <c r="J149" s="11">
        <f>I149/D144</f>
        <v>1962</v>
      </c>
      <c r="K149" s="11">
        <v>1962</v>
      </c>
    </row>
    <row r="150" spans="1:11" ht="19.5" customHeight="1">
      <c r="A150" s="89"/>
      <c r="B150" s="89"/>
      <c r="C150" s="92"/>
      <c r="D150" s="86"/>
      <c r="E150" s="89"/>
      <c r="F150" s="89"/>
      <c r="G150" s="94"/>
      <c r="H150" s="12" t="s">
        <v>30</v>
      </c>
      <c r="I150" s="11">
        <f>D144*K150</f>
        <v>16391.759999999998</v>
      </c>
      <c r="J150" s="11">
        <f>I150/D144</f>
        <v>42</v>
      </c>
      <c r="K150" s="11">
        <v>42</v>
      </c>
    </row>
    <row r="151" spans="1:11" ht="15.75" customHeight="1">
      <c r="A151" s="87">
        <f>A144+1</f>
        <v>12</v>
      </c>
      <c r="B151" s="87">
        <v>4547</v>
      </c>
      <c r="C151" s="90" t="s">
        <v>63</v>
      </c>
      <c r="D151" s="84">
        <v>500.8</v>
      </c>
      <c r="E151" s="87" t="s">
        <v>32</v>
      </c>
      <c r="F151" s="87">
        <v>2</v>
      </c>
      <c r="G151" s="47"/>
      <c r="H151" s="12" t="s">
        <v>31</v>
      </c>
      <c r="I151" s="11">
        <f>SUM(I152:I155)</f>
        <v>3007304</v>
      </c>
      <c r="J151" s="11">
        <f>SUM(J152:J155)</f>
        <v>6005</v>
      </c>
      <c r="K151" s="11">
        <f>SUM(K152:K155)</f>
        <v>6005</v>
      </c>
    </row>
    <row r="152" spans="1:11" ht="16.5" customHeight="1">
      <c r="A152" s="88"/>
      <c r="B152" s="88"/>
      <c r="C152" s="91"/>
      <c r="D152" s="85"/>
      <c r="E152" s="88"/>
      <c r="F152" s="88"/>
      <c r="G152" s="93" t="s">
        <v>36</v>
      </c>
      <c r="H152" s="12" t="s">
        <v>19</v>
      </c>
      <c r="I152" s="11">
        <f>D151*K152</f>
        <v>2594644.7999999998</v>
      </c>
      <c r="J152" s="11">
        <f>I152/D151</f>
        <v>5181</v>
      </c>
      <c r="K152" s="11">
        <v>5181</v>
      </c>
    </row>
    <row r="153" spans="1:11" ht="16.5" customHeight="1">
      <c r="A153" s="88"/>
      <c r="B153" s="88"/>
      <c r="C153" s="91"/>
      <c r="D153" s="85"/>
      <c r="E153" s="88"/>
      <c r="F153" s="88"/>
      <c r="G153" s="94"/>
      <c r="H153" s="12" t="s">
        <v>30</v>
      </c>
      <c r="I153" s="11">
        <f>D151*K153</f>
        <v>55588.800000000003</v>
      </c>
      <c r="J153" s="11">
        <f>I153/D151</f>
        <v>111</v>
      </c>
      <c r="K153" s="11">
        <v>111</v>
      </c>
    </row>
    <row r="154" spans="1:11" ht="19.5" customHeight="1">
      <c r="A154" s="88"/>
      <c r="B154" s="88"/>
      <c r="C154" s="91"/>
      <c r="D154" s="85"/>
      <c r="E154" s="88"/>
      <c r="F154" s="88"/>
      <c r="G154" s="93" t="s">
        <v>53</v>
      </c>
      <c r="H154" s="12" t="s">
        <v>19</v>
      </c>
      <c r="I154" s="11">
        <f>D151*K154</f>
        <v>349558.4</v>
      </c>
      <c r="J154" s="11">
        <f>I154/D151</f>
        <v>698</v>
      </c>
      <c r="K154" s="11">
        <v>698</v>
      </c>
    </row>
    <row r="155" spans="1:11" ht="19.5" customHeight="1">
      <c r="A155" s="88"/>
      <c r="B155" s="88"/>
      <c r="C155" s="91"/>
      <c r="D155" s="85"/>
      <c r="E155" s="88"/>
      <c r="F155" s="88"/>
      <c r="G155" s="94"/>
      <c r="H155" s="12" t="s">
        <v>30</v>
      </c>
      <c r="I155" s="11">
        <f>D151*K155</f>
        <v>7512</v>
      </c>
      <c r="J155" s="11">
        <f>I155/D151</f>
        <v>15</v>
      </c>
      <c r="K155" s="11">
        <v>15</v>
      </c>
    </row>
    <row r="156" spans="1:11" ht="15.75" customHeight="1">
      <c r="A156" s="87">
        <f>A151+1</f>
        <v>13</v>
      </c>
      <c r="B156" s="87">
        <v>4548</v>
      </c>
      <c r="C156" s="90" t="s">
        <v>64</v>
      </c>
      <c r="D156" s="84">
        <v>507.1</v>
      </c>
      <c r="E156" s="87" t="s">
        <v>32</v>
      </c>
      <c r="F156" s="87">
        <v>2</v>
      </c>
      <c r="G156" s="47"/>
      <c r="H156" s="12" t="s">
        <v>31</v>
      </c>
      <c r="I156" s="11">
        <f>SUM(I157:I160)</f>
        <v>3045135.5</v>
      </c>
      <c r="J156" s="11">
        <f>SUM(J157:J160)</f>
        <v>6005</v>
      </c>
      <c r="K156" s="11">
        <f>SUM(K157:K160)</f>
        <v>6005</v>
      </c>
    </row>
    <row r="157" spans="1:11" ht="16.5" customHeight="1">
      <c r="A157" s="88"/>
      <c r="B157" s="88"/>
      <c r="C157" s="91"/>
      <c r="D157" s="85"/>
      <c r="E157" s="88"/>
      <c r="F157" s="88"/>
      <c r="G157" s="93" t="s">
        <v>36</v>
      </c>
      <c r="H157" s="12" t="s">
        <v>19</v>
      </c>
      <c r="I157" s="11">
        <f>D156*K157</f>
        <v>2627285.1</v>
      </c>
      <c r="J157" s="11">
        <f>I157/D156</f>
        <v>5181</v>
      </c>
      <c r="K157" s="11">
        <v>5181</v>
      </c>
    </row>
    <row r="158" spans="1:11" ht="16.5" customHeight="1">
      <c r="A158" s="88"/>
      <c r="B158" s="88"/>
      <c r="C158" s="91"/>
      <c r="D158" s="85"/>
      <c r="E158" s="88"/>
      <c r="F158" s="88"/>
      <c r="G158" s="94"/>
      <c r="H158" s="12" t="s">
        <v>30</v>
      </c>
      <c r="I158" s="11">
        <f>D156*K158</f>
        <v>56288.1</v>
      </c>
      <c r="J158" s="11">
        <f>I158/D156</f>
        <v>111</v>
      </c>
      <c r="K158" s="11">
        <v>111</v>
      </c>
    </row>
    <row r="159" spans="1:11" ht="19.5" customHeight="1">
      <c r="A159" s="88"/>
      <c r="B159" s="88"/>
      <c r="C159" s="91"/>
      <c r="D159" s="85"/>
      <c r="E159" s="88"/>
      <c r="F159" s="88"/>
      <c r="G159" s="93" t="s">
        <v>53</v>
      </c>
      <c r="H159" s="12" t="s">
        <v>19</v>
      </c>
      <c r="I159" s="11">
        <f>D156*K159</f>
        <v>353955.8</v>
      </c>
      <c r="J159" s="11">
        <f>I159/D156</f>
        <v>698</v>
      </c>
      <c r="K159" s="11">
        <v>698</v>
      </c>
    </row>
    <row r="160" spans="1:11" ht="19.5" customHeight="1">
      <c r="A160" s="88"/>
      <c r="B160" s="88"/>
      <c r="C160" s="91"/>
      <c r="D160" s="85"/>
      <c r="E160" s="88"/>
      <c r="F160" s="88"/>
      <c r="G160" s="94"/>
      <c r="H160" s="12" t="s">
        <v>30</v>
      </c>
      <c r="I160" s="11">
        <f>D156*K160</f>
        <v>7606.5</v>
      </c>
      <c r="J160" s="11">
        <f>I160/D156</f>
        <v>15</v>
      </c>
      <c r="K160" s="11">
        <v>15</v>
      </c>
    </row>
    <row r="161" spans="1:11" ht="15.75" customHeight="1">
      <c r="A161" s="87">
        <f>A156+1</f>
        <v>14</v>
      </c>
      <c r="B161" s="87">
        <v>4441</v>
      </c>
      <c r="C161" s="90" t="s">
        <v>88</v>
      </c>
      <c r="D161" s="84">
        <v>355</v>
      </c>
      <c r="E161" s="87" t="s">
        <v>33</v>
      </c>
      <c r="F161" s="87">
        <v>2</v>
      </c>
      <c r="G161" s="47"/>
      <c r="H161" s="12" t="s">
        <v>31</v>
      </c>
      <c r="I161" s="11">
        <f>SUM(I162:I165)</f>
        <v>2131775</v>
      </c>
      <c r="J161" s="11">
        <f>SUM(J162:J165)</f>
        <v>6005</v>
      </c>
      <c r="K161" s="11">
        <f>SUM(K162:K165)</f>
        <v>6005</v>
      </c>
    </row>
    <row r="162" spans="1:11" ht="16.5" customHeight="1">
      <c r="A162" s="88"/>
      <c r="B162" s="88"/>
      <c r="C162" s="91"/>
      <c r="D162" s="85"/>
      <c r="E162" s="88"/>
      <c r="F162" s="88"/>
      <c r="G162" s="93" t="s">
        <v>36</v>
      </c>
      <c r="H162" s="12" t="s">
        <v>19</v>
      </c>
      <c r="I162" s="11">
        <f>D161*K162</f>
        <v>1839255</v>
      </c>
      <c r="J162" s="11">
        <f>I162/D161</f>
        <v>5181</v>
      </c>
      <c r="K162" s="11">
        <v>5181</v>
      </c>
    </row>
    <row r="163" spans="1:11" ht="16.5" customHeight="1">
      <c r="A163" s="88"/>
      <c r="B163" s="88"/>
      <c r="C163" s="91"/>
      <c r="D163" s="85"/>
      <c r="E163" s="88"/>
      <c r="F163" s="88"/>
      <c r="G163" s="94"/>
      <c r="H163" s="12" t="s">
        <v>30</v>
      </c>
      <c r="I163" s="11">
        <f>D161*K163</f>
        <v>39405</v>
      </c>
      <c r="J163" s="11">
        <f>I163/D161</f>
        <v>111</v>
      </c>
      <c r="K163" s="11">
        <v>111</v>
      </c>
    </row>
    <row r="164" spans="1:11" ht="19.5" customHeight="1">
      <c r="A164" s="88"/>
      <c r="B164" s="88"/>
      <c r="C164" s="91"/>
      <c r="D164" s="85"/>
      <c r="E164" s="88"/>
      <c r="F164" s="88"/>
      <c r="G164" s="93" t="s">
        <v>53</v>
      </c>
      <c r="H164" s="12" t="s">
        <v>19</v>
      </c>
      <c r="I164" s="11">
        <f>D161*K164</f>
        <v>247790</v>
      </c>
      <c r="J164" s="11">
        <f>I164/D161</f>
        <v>698</v>
      </c>
      <c r="K164" s="11">
        <v>698</v>
      </c>
    </row>
    <row r="165" spans="1:11" ht="19.5" customHeight="1">
      <c r="A165" s="88"/>
      <c r="B165" s="88"/>
      <c r="C165" s="91"/>
      <c r="D165" s="85"/>
      <c r="E165" s="88"/>
      <c r="F165" s="88"/>
      <c r="G165" s="94"/>
      <c r="H165" s="12" t="s">
        <v>30</v>
      </c>
      <c r="I165" s="11">
        <f>D161*K165</f>
        <v>5325</v>
      </c>
      <c r="J165" s="11">
        <f>I165/D161</f>
        <v>15</v>
      </c>
      <c r="K165" s="11">
        <v>15</v>
      </c>
    </row>
    <row r="166" spans="1:11" ht="15.75" customHeight="1">
      <c r="A166" s="96">
        <f>A161+1</f>
        <v>15</v>
      </c>
      <c r="B166" s="96">
        <v>4530</v>
      </c>
      <c r="C166" s="90" t="s">
        <v>69</v>
      </c>
      <c r="D166" s="95">
        <v>300.3</v>
      </c>
      <c r="E166" s="96" t="s">
        <v>33</v>
      </c>
      <c r="F166" s="96">
        <v>2</v>
      </c>
      <c r="G166" s="47"/>
      <c r="H166" s="12" t="s">
        <v>31</v>
      </c>
      <c r="I166" s="11">
        <f>SUM(I167:I170)</f>
        <v>1803301.5</v>
      </c>
      <c r="J166" s="11">
        <f>SUM(J167:J170)</f>
        <v>6005</v>
      </c>
      <c r="K166" s="11">
        <f>SUM(K167:K170)</f>
        <v>6005</v>
      </c>
    </row>
    <row r="167" spans="1:11" ht="16.5" customHeight="1">
      <c r="A167" s="96"/>
      <c r="B167" s="96"/>
      <c r="C167" s="91"/>
      <c r="D167" s="95"/>
      <c r="E167" s="96"/>
      <c r="F167" s="96"/>
      <c r="G167" s="93" t="s">
        <v>36</v>
      </c>
      <c r="H167" s="12" t="s">
        <v>19</v>
      </c>
      <c r="I167" s="11">
        <f>D166*K167</f>
        <v>1555854.3</v>
      </c>
      <c r="J167" s="11">
        <f>I167/D166</f>
        <v>5181</v>
      </c>
      <c r="K167" s="11">
        <v>5181</v>
      </c>
    </row>
    <row r="168" spans="1:11" ht="16.5" customHeight="1">
      <c r="A168" s="96"/>
      <c r="B168" s="96"/>
      <c r="C168" s="91"/>
      <c r="D168" s="95"/>
      <c r="E168" s="96"/>
      <c r="F168" s="96"/>
      <c r="G168" s="94"/>
      <c r="H168" s="12" t="s">
        <v>30</v>
      </c>
      <c r="I168" s="11">
        <f>D166*K168</f>
        <v>33333.300000000003</v>
      </c>
      <c r="J168" s="11">
        <f>I168/D166</f>
        <v>111</v>
      </c>
      <c r="K168" s="11">
        <v>111</v>
      </c>
    </row>
    <row r="169" spans="1:11" ht="19.5" customHeight="1">
      <c r="A169" s="96"/>
      <c r="B169" s="96"/>
      <c r="C169" s="91"/>
      <c r="D169" s="95"/>
      <c r="E169" s="96"/>
      <c r="F169" s="96"/>
      <c r="G169" s="93" t="s">
        <v>53</v>
      </c>
      <c r="H169" s="12" t="s">
        <v>19</v>
      </c>
      <c r="I169" s="11">
        <f>D166*K169</f>
        <v>209609.4</v>
      </c>
      <c r="J169" s="11">
        <f>I169/D166</f>
        <v>698</v>
      </c>
      <c r="K169" s="11">
        <v>698</v>
      </c>
    </row>
    <row r="170" spans="1:11" ht="19.5" customHeight="1">
      <c r="A170" s="96"/>
      <c r="B170" s="96"/>
      <c r="C170" s="92"/>
      <c r="D170" s="95"/>
      <c r="E170" s="96"/>
      <c r="F170" s="96"/>
      <c r="G170" s="94"/>
      <c r="H170" s="12" t="s">
        <v>30</v>
      </c>
      <c r="I170" s="11">
        <f>D166*K170</f>
        <v>4504.5</v>
      </c>
      <c r="J170" s="11">
        <f>I170/D166</f>
        <v>15</v>
      </c>
      <c r="K170" s="11">
        <v>15</v>
      </c>
    </row>
    <row r="171" spans="1:11" ht="19.5" customHeight="1">
      <c r="A171" s="87">
        <f>A166+1</f>
        <v>16</v>
      </c>
      <c r="B171" s="87">
        <v>4549</v>
      </c>
      <c r="C171" s="87" t="s">
        <v>102</v>
      </c>
      <c r="D171" s="87">
        <v>383.58</v>
      </c>
      <c r="E171" s="87" t="s">
        <v>33</v>
      </c>
      <c r="F171" s="87">
        <v>2</v>
      </c>
      <c r="G171" s="45"/>
      <c r="H171" s="12" t="s">
        <v>31</v>
      </c>
      <c r="I171" s="11">
        <f>SUM(I172:I173)</f>
        <v>164939.4</v>
      </c>
      <c r="J171" s="11">
        <f t="shared" ref="J171:K171" si="9">SUM(J172:J173)</f>
        <v>430</v>
      </c>
      <c r="K171" s="11">
        <f t="shared" si="9"/>
        <v>430</v>
      </c>
    </row>
    <row r="172" spans="1:11" ht="61.5" customHeight="1">
      <c r="A172" s="88"/>
      <c r="B172" s="88"/>
      <c r="C172" s="88"/>
      <c r="D172" s="88"/>
      <c r="E172" s="88"/>
      <c r="F172" s="88"/>
      <c r="G172" s="45" t="s">
        <v>85</v>
      </c>
      <c r="H172" s="13" t="s">
        <v>35</v>
      </c>
      <c r="I172" s="11">
        <f>D171*K172</f>
        <v>59071.32</v>
      </c>
      <c r="J172" s="11">
        <f>I172/D171</f>
        <v>154</v>
      </c>
      <c r="K172" s="11">
        <f>133+21</f>
        <v>154</v>
      </c>
    </row>
    <row r="173" spans="1:11" ht="56.25" customHeight="1">
      <c r="A173" s="89"/>
      <c r="B173" s="89"/>
      <c r="C173" s="89"/>
      <c r="D173" s="89"/>
      <c r="E173" s="89"/>
      <c r="F173" s="89"/>
      <c r="G173" s="45" t="s">
        <v>100</v>
      </c>
      <c r="H173" s="13" t="s">
        <v>89</v>
      </c>
      <c r="I173" s="11">
        <f>D171*K173</f>
        <v>105868.08</v>
      </c>
      <c r="J173" s="11">
        <f>I173/D171</f>
        <v>276</v>
      </c>
      <c r="K173" s="11">
        <f>249+27</f>
        <v>276</v>
      </c>
    </row>
    <row r="174" spans="1:11" ht="15.75" customHeight="1">
      <c r="A174" s="87">
        <f>A171+1</f>
        <v>17</v>
      </c>
      <c r="B174" s="87">
        <v>4536</v>
      </c>
      <c r="C174" s="90" t="s">
        <v>73</v>
      </c>
      <c r="D174" s="84">
        <v>851.15</v>
      </c>
      <c r="E174" s="87" t="s">
        <v>33</v>
      </c>
      <c r="F174" s="87">
        <v>2</v>
      </c>
      <c r="G174" s="47"/>
      <c r="H174" s="12" t="s">
        <v>31</v>
      </c>
      <c r="I174" s="11">
        <f>SUM(I175:I180)</f>
        <v>5146904.05</v>
      </c>
      <c r="J174" s="11" t="e">
        <f>SUM(J175:J180)</f>
        <v>#VALUE!</v>
      </c>
      <c r="K174" s="11">
        <f>SUM(K175:K180)</f>
        <v>8009</v>
      </c>
    </row>
    <row r="175" spans="1:11" ht="16.5" customHeight="1">
      <c r="A175" s="88"/>
      <c r="B175" s="88"/>
      <c r="C175" s="91"/>
      <c r="D175" s="85"/>
      <c r="E175" s="88"/>
      <c r="F175" s="88"/>
      <c r="G175" s="93" t="s">
        <v>36</v>
      </c>
      <c r="H175" s="12" t="s">
        <v>19</v>
      </c>
      <c r="I175" s="11">
        <f>D174*K175</f>
        <v>4409808.1500000004</v>
      </c>
      <c r="J175" s="11">
        <f>I175/D174</f>
        <v>5181</v>
      </c>
      <c r="K175" s="11">
        <v>5181</v>
      </c>
    </row>
    <row r="176" spans="1:11" ht="16.5" customHeight="1">
      <c r="A176" s="88"/>
      <c r="B176" s="88"/>
      <c r="C176" s="91"/>
      <c r="D176" s="85"/>
      <c r="E176" s="88"/>
      <c r="F176" s="88"/>
      <c r="G176" s="94"/>
      <c r="H176" s="12" t="s">
        <v>30</v>
      </c>
      <c r="I176" s="11">
        <f>D174*K176</f>
        <v>94477.65</v>
      </c>
      <c r="J176" s="11">
        <f>I176/D174</f>
        <v>111</v>
      </c>
      <c r="K176" s="11">
        <v>111</v>
      </c>
    </row>
    <row r="177" spans="1:13" ht="19.5" customHeight="1">
      <c r="A177" s="88"/>
      <c r="B177" s="88"/>
      <c r="C177" s="91"/>
      <c r="D177" s="85"/>
      <c r="E177" s="88"/>
      <c r="F177" s="88"/>
      <c r="G177" s="93" t="s">
        <v>53</v>
      </c>
      <c r="H177" s="12" t="s">
        <v>19</v>
      </c>
      <c r="I177" s="11">
        <f>D174*K177</f>
        <v>594102.69999999995</v>
      </c>
      <c r="J177" s="11">
        <f>I177/D174</f>
        <v>698</v>
      </c>
      <c r="K177" s="11">
        <v>698</v>
      </c>
    </row>
    <row r="178" spans="1:13" ht="19.5" customHeight="1">
      <c r="A178" s="88"/>
      <c r="B178" s="88"/>
      <c r="C178" s="91"/>
      <c r="D178" s="85"/>
      <c r="E178" s="88"/>
      <c r="F178" s="88"/>
      <c r="G178" s="94"/>
      <c r="H178" s="12" t="s">
        <v>30</v>
      </c>
      <c r="I178" s="11">
        <f>D174*K178</f>
        <v>12767.25</v>
      </c>
      <c r="J178" s="11">
        <f>I178/D174</f>
        <v>15</v>
      </c>
      <c r="K178" s="11">
        <v>15</v>
      </c>
    </row>
    <row r="179" spans="1:13" ht="16.5" customHeight="1">
      <c r="A179" s="88"/>
      <c r="B179" s="88"/>
      <c r="C179" s="91"/>
      <c r="D179" s="85"/>
      <c r="E179" s="88"/>
      <c r="F179" s="88"/>
      <c r="G179" s="93" t="s">
        <v>54</v>
      </c>
      <c r="H179" s="12" t="s">
        <v>19</v>
      </c>
      <c r="I179" s="11" t="s">
        <v>104</v>
      </c>
      <c r="J179" s="11" t="e">
        <f>I179/D174</f>
        <v>#VALUE!</v>
      </c>
      <c r="K179" s="11">
        <v>1962</v>
      </c>
    </row>
    <row r="180" spans="1:13" ht="19.5" customHeight="1">
      <c r="A180" s="89"/>
      <c r="B180" s="89"/>
      <c r="C180" s="92"/>
      <c r="D180" s="86"/>
      <c r="E180" s="89"/>
      <c r="F180" s="89"/>
      <c r="G180" s="94"/>
      <c r="H180" s="12" t="s">
        <v>30</v>
      </c>
      <c r="I180" s="11">
        <f>D174*K180</f>
        <v>35748.300000000003</v>
      </c>
      <c r="J180" s="11">
        <f>I180/D174</f>
        <v>42</v>
      </c>
      <c r="K180" s="11">
        <v>42</v>
      </c>
    </row>
    <row r="181" spans="1:13" ht="15.75" customHeight="1">
      <c r="A181" s="53"/>
      <c r="B181" s="53"/>
      <c r="C181" s="53"/>
      <c r="D181" s="14"/>
      <c r="E181" s="14"/>
      <c r="F181" s="14"/>
      <c r="G181" s="54"/>
      <c r="H181" s="55"/>
      <c r="I181" s="14"/>
      <c r="J181" s="14"/>
      <c r="K181" s="14"/>
    </row>
    <row r="182" spans="1:13" ht="169.5" customHeight="1">
      <c r="A182" s="15" t="s">
        <v>44</v>
      </c>
      <c r="B182" s="15"/>
      <c r="C182" s="97" t="s">
        <v>92</v>
      </c>
      <c r="D182" s="97"/>
      <c r="E182" s="97"/>
      <c r="F182" s="97"/>
      <c r="G182" s="97"/>
      <c r="H182" s="97"/>
      <c r="I182" s="97"/>
      <c r="J182" s="97"/>
      <c r="K182" s="97"/>
    </row>
    <row r="183" spans="1:13" ht="66" customHeight="1">
      <c r="A183" s="15" t="s">
        <v>45</v>
      </c>
      <c r="B183" s="15"/>
      <c r="C183" s="97" t="s">
        <v>52</v>
      </c>
      <c r="D183" s="97"/>
      <c r="E183" s="97"/>
      <c r="F183" s="97"/>
      <c r="G183" s="97"/>
      <c r="H183" s="97"/>
      <c r="I183" s="97"/>
      <c r="J183" s="97"/>
      <c r="K183" s="97"/>
    </row>
    <row r="184" spans="1:13" ht="32.25" customHeight="1">
      <c r="A184" s="15" t="s">
        <v>46</v>
      </c>
      <c r="B184" s="15"/>
      <c r="C184" s="97" t="s">
        <v>47</v>
      </c>
      <c r="D184" s="97"/>
      <c r="E184" s="97"/>
      <c r="F184" s="97"/>
      <c r="G184" s="97"/>
      <c r="H184" s="97"/>
      <c r="I184" s="97"/>
      <c r="J184" s="97"/>
      <c r="K184" s="97"/>
    </row>
    <row r="185" spans="1:13" ht="33" customHeight="1">
      <c r="A185" s="16" t="s">
        <v>48</v>
      </c>
      <c r="B185" s="16"/>
      <c r="C185" s="97" t="s">
        <v>49</v>
      </c>
      <c r="D185" s="97"/>
      <c r="E185" s="97"/>
      <c r="F185" s="97"/>
      <c r="G185" s="97"/>
      <c r="H185" s="97"/>
      <c r="I185" s="97"/>
      <c r="J185" s="97"/>
      <c r="K185" s="97"/>
    </row>
    <row r="186" spans="1:13">
      <c r="A186" s="17"/>
      <c r="B186" s="17"/>
      <c r="D186" s="17"/>
      <c r="E186" s="17"/>
      <c r="F186" s="17"/>
      <c r="K186" s="19"/>
    </row>
    <row r="187" spans="1:13">
      <c r="A187" s="21" t="s">
        <v>17</v>
      </c>
      <c r="B187" s="21"/>
      <c r="D187" s="17"/>
      <c r="E187" s="17"/>
      <c r="F187" s="17"/>
      <c r="K187" s="19"/>
    </row>
    <row r="188" spans="1:13">
      <c r="A188" s="21" t="s">
        <v>18</v>
      </c>
      <c r="B188" s="21"/>
      <c r="D188" s="17"/>
      <c r="E188" s="17"/>
      <c r="F188" s="17"/>
      <c r="K188" s="19"/>
    </row>
    <row r="189" spans="1:13">
      <c r="A189" s="21" t="s">
        <v>34</v>
      </c>
      <c r="B189" s="21"/>
      <c r="D189" s="17"/>
      <c r="E189" s="17"/>
      <c r="F189" s="17"/>
      <c r="K189" s="19"/>
    </row>
    <row r="190" spans="1:13">
      <c r="B190" s="20"/>
      <c r="C190" s="20"/>
      <c r="D190" s="20"/>
      <c r="E190" s="20"/>
      <c r="F190" s="20"/>
      <c r="H190" s="18"/>
      <c r="K190" s="1"/>
      <c r="M190" s="1"/>
    </row>
    <row r="191" spans="1:13">
      <c r="B191" s="20"/>
      <c r="C191" s="20"/>
      <c r="D191" s="20"/>
      <c r="E191" s="20"/>
      <c r="F191" s="20"/>
    </row>
    <row r="192" spans="1:13">
      <c r="B192" s="20"/>
      <c r="C192" s="20"/>
      <c r="D192" s="20"/>
      <c r="E192" s="20"/>
      <c r="F192" s="20"/>
    </row>
  </sheetData>
  <autoFilter ref="A5:K180"/>
  <customSheetViews>
    <customSheetView guid="{114D0552-1D3C-4C9A-AF28-55BD1176DD7C}" showPageBreaks="1" fitToPage="1" printArea="1" showAutoFilter="1">
      <pane xSplit="3" ySplit="5" topLeftCell="D133" activePane="bottomRight" state="frozen"/>
      <selection pane="bottomRight" activeCell="F82" sqref="F82"/>
      <rowBreaks count="12" manualBreakCount="12">
        <brk id="64" max="7" man="1"/>
        <brk id="110" max="7" man="1"/>
        <brk id="139" max="7" man="1"/>
        <brk id="150" max="7" man="1"/>
        <brk id="181" max="7" man="1"/>
        <brk id="312" max="7" man="1"/>
        <brk id="365" max="7" man="1"/>
        <brk id="433" max="7" man="1"/>
        <brk id="499" max="7" man="1"/>
        <brk id="569" max="7" man="1"/>
        <brk id="637" max="7" man="1"/>
        <brk id="847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10" orientation="portrait" r:id="rId1"/>
      <autoFilter ref="B1:I1"/>
    </customSheetView>
    <customSheetView guid="{CC3EEC02-30D2-4905-AE21-71EA71520321}" scale="80" showPageBreaks="1" printArea="1" showAutoFilter="1" topLeftCell="A380">
      <selection activeCell="F648" sqref="F648:H650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2"/>
      <autoFilter ref="B1:I1"/>
    </customSheetView>
    <customSheetView guid="{3511D8A4-2A8D-4563-8DF1-C381EEDBF68F}" scale="90" showPageBreaks="1" printArea="1" showAutoFilter="1" topLeftCell="A172">
      <selection activeCell="I185" sqref="I185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3"/>
      <autoFilter ref="B1:I1"/>
    </customSheetView>
  </customSheetViews>
  <mergeCells count="302">
    <mergeCell ref="H1:J1"/>
    <mergeCell ref="G12:G13"/>
    <mergeCell ref="G14:G15"/>
    <mergeCell ref="G22:G23"/>
    <mergeCell ref="G24:G25"/>
    <mergeCell ref="A72:A74"/>
    <mergeCell ref="B72:B74"/>
    <mergeCell ref="C72:C74"/>
    <mergeCell ref="D72:D74"/>
    <mergeCell ref="C48:C49"/>
    <mergeCell ref="D48:D49"/>
    <mergeCell ref="E48:E49"/>
    <mergeCell ref="A48:A49"/>
    <mergeCell ref="B48:B49"/>
    <mergeCell ref="A45:A47"/>
    <mergeCell ref="B45:B47"/>
    <mergeCell ref="C45:C47"/>
    <mergeCell ref="E72:E74"/>
    <mergeCell ref="A11:A15"/>
    <mergeCell ref="B11:B15"/>
    <mergeCell ref="C11:C15"/>
    <mergeCell ref="D11:D15"/>
    <mergeCell ref="E11:E15"/>
    <mergeCell ref="F11:F15"/>
    <mergeCell ref="A16:A18"/>
    <mergeCell ref="B16:B18"/>
    <mergeCell ref="C16:C18"/>
    <mergeCell ref="G113:G114"/>
    <mergeCell ref="G131:G132"/>
    <mergeCell ref="G133:G134"/>
    <mergeCell ref="F123:F129"/>
    <mergeCell ref="G128:G129"/>
    <mergeCell ref="E84:E87"/>
    <mergeCell ref="A81:A83"/>
    <mergeCell ref="F94:F98"/>
    <mergeCell ref="D115:D117"/>
    <mergeCell ref="D106:D109"/>
    <mergeCell ref="E106:E109"/>
    <mergeCell ref="D110:D114"/>
    <mergeCell ref="G119:G120"/>
    <mergeCell ref="G121:G122"/>
    <mergeCell ref="G116:G117"/>
    <mergeCell ref="F115:F117"/>
    <mergeCell ref="G100:G101"/>
    <mergeCell ref="G102:G103"/>
    <mergeCell ref="G104:G105"/>
    <mergeCell ref="F106:F109"/>
    <mergeCell ref="F81:F83"/>
    <mergeCell ref="F84:F87"/>
    <mergeCell ref="G89:G90"/>
    <mergeCell ref="A88:A90"/>
    <mergeCell ref="G145:G146"/>
    <mergeCell ref="G147:G148"/>
    <mergeCell ref="G149:G150"/>
    <mergeCell ref="G138:G139"/>
    <mergeCell ref="G140:G141"/>
    <mergeCell ref="G152:G153"/>
    <mergeCell ref="A8:A10"/>
    <mergeCell ref="B8:B10"/>
    <mergeCell ref="C8:C10"/>
    <mergeCell ref="D8:D10"/>
    <mergeCell ref="E8:E10"/>
    <mergeCell ref="F8:F10"/>
    <mergeCell ref="G9:G10"/>
    <mergeCell ref="G95:G96"/>
    <mergeCell ref="G97:G98"/>
    <mergeCell ref="F99:F105"/>
    <mergeCell ref="G124:G125"/>
    <mergeCell ref="G126:G127"/>
    <mergeCell ref="D118:D122"/>
    <mergeCell ref="E118:E122"/>
    <mergeCell ref="F118:F122"/>
    <mergeCell ref="E94:E98"/>
    <mergeCell ref="F110:F114"/>
    <mergeCell ref="G111:G112"/>
    <mergeCell ref="F166:F170"/>
    <mergeCell ref="G162:G163"/>
    <mergeCell ref="G167:G168"/>
    <mergeCell ref="G169:G170"/>
    <mergeCell ref="F151:F155"/>
    <mergeCell ref="F156:F160"/>
    <mergeCell ref="G157:G158"/>
    <mergeCell ref="G159:G160"/>
    <mergeCell ref="G154:G155"/>
    <mergeCell ref="G164:G165"/>
    <mergeCell ref="F161:F165"/>
    <mergeCell ref="G135:G136"/>
    <mergeCell ref="G142:G143"/>
    <mergeCell ref="F92:F93"/>
    <mergeCell ref="G92:G93"/>
    <mergeCell ref="A75:A77"/>
    <mergeCell ref="B75:B77"/>
    <mergeCell ref="C75:C77"/>
    <mergeCell ref="D75:D77"/>
    <mergeCell ref="E75:E77"/>
    <mergeCell ref="F78:F80"/>
    <mergeCell ref="F75:F77"/>
    <mergeCell ref="G76:G77"/>
    <mergeCell ref="A78:A80"/>
    <mergeCell ref="B78:B80"/>
    <mergeCell ref="A84:A87"/>
    <mergeCell ref="B84:B87"/>
    <mergeCell ref="C84:C87"/>
    <mergeCell ref="C81:C83"/>
    <mergeCell ref="B88:B90"/>
    <mergeCell ref="C88:C90"/>
    <mergeCell ref="D88:D90"/>
    <mergeCell ref="E88:E90"/>
    <mergeCell ref="F88:F90"/>
    <mergeCell ref="A92:A93"/>
    <mergeCell ref="B92:B93"/>
    <mergeCell ref="C92:C93"/>
    <mergeCell ref="F72:F74"/>
    <mergeCell ref="D69:D71"/>
    <mergeCell ref="E69:E71"/>
    <mergeCell ref="F69:F71"/>
    <mergeCell ref="F65:F68"/>
    <mergeCell ref="F41:F44"/>
    <mergeCell ref="F38:F40"/>
    <mergeCell ref="D41:D44"/>
    <mergeCell ref="E41:E44"/>
    <mergeCell ref="D57:D60"/>
    <mergeCell ref="E57:E60"/>
    <mergeCell ref="D45:D47"/>
    <mergeCell ref="E45:E47"/>
    <mergeCell ref="A33:A37"/>
    <mergeCell ref="A57:A60"/>
    <mergeCell ref="B30:B32"/>
    <mergeCell ref="C33:C37"/>
    <mergeCell ref="C30:C32"/>
    <mergeCell ref="D30:D32"/>
    <mergeCell ref="E30:E32"/>
    <mergeCell ref="F50:F52"/>
    <mergeCell ref="F48:F49"/>
    <mergeCell ref="F33:F37"/>
    <mergeCell ref="B57:B60"/>
    <mergeCell ref="C57:C60"/>
    <mergeCell ref="C50:C52"/>
    <mergeCell ref="F45:F47"/>
    <mergeCell ref="F53:F56"/>
    <mergeCell ref="F57:F60"/>
    <mergeCell ref="A61:A64"/>
    <mergeCell ref="B61:B64"/>
    <mergeCell ref="C61:C64"/>
    <mergeCell ref="D61:D64"/>
    <mergeCell ref="E61:E64"/>
    <mergeCell ref="F61:F64"/>
    <mergeCell ref="A41:A44"/>
    <mergeCell ref="A38:A40"/>
    <mergeCell ref="B38:B40"/>
    <mergeCell ref="C38:C40"/>
    <mergeCell ref="D38:D40"/>
    <mergeCell ref="E38:E40"/>
    <mergeCell ref="A69:A71"/>
    <mergeCell ref="B69:B71"/>
    <mergeCell ref="C69:C71"/>
    <mergeCell ref="A65:A68"/>
    <mergeCell ref="B65:B68"/>
    <mergeCell ref="B110:B114"/>
    <mergeCell ref="E78:E80"/>
    <mergeCell ref="A99:A105"/>
    <mergeCell ref="B99:B105"/>
    <mergeCell ref="C99:C105"/>
    <mergeCell ref="D99:D105"/>
    <mergeCell ref="E99:E105"/>
    <mergeCell ref="B81:B83"/>
    <mergeCell ref="A106:A109"/>
    <mergeCell ref="B106:B109"/>
    <mergeCell ref="C106:C109"/>
    <mergeCell ref="D81:D83"/>
    <mergeCell ref="E81:E83"/>
    <mergeCell ref="E92:E93"/>
    <mergeCell ref="D92:D93"/>
    <mergeCell ref="A2:K2"/>
    <mergeCell ref="A29:C29"/>
    <mergeCell ref="C65:C68"/>
    <mergeCell ref="D65:D68"/>
    <mergeCell ref="E65:E68"/>
    <mergeCell ref="E50:E52"/>
    <mergeCell ref="E33:E37"/>
    <mergeCell ref="B33:B37"/>
    <mergeCell ref="A30:A32"/>
    <mergeCell ref="B41:B44"/>
    <mergeCell ref="C41:C44"/>
    <mergeCell ref="F21:F25"/>
    <mergeCell ref="E21:E25"/>
    <mergeCell ref="C21:C25"/>
    <mergeCell ref="A53:A56"/>
    <mergeCell ref="B53:B56"/>
    <mergeCell ref="C53:C56"/>
    <mergeCell ref="D53:D56"/>
    <mergeCell ref="E53:E56"/>
    <mergeCell ref="A50:A52"/>
    <mergeCell ref="B50:B52"/>
    <mergeCell ref="D50:D52"/>
    <mergeCell ref="G36:G37"/>
    <mergeCell ref="G34:G35"/>
    <mergeCell ref="C185:K185"/>
    <mergeCell ref="C184:K184"/>
    <mergeCell ref="C183:K183"/>
    <mergeCell ref="B174:B180"/>
    <mergeCell ref="C174:C180"/>
    <mergeCell ref="D174:D180"/>
    <mergeCell ref="E174:E180"/>
    <mergeCell ref="F174:F180"/>
    <mergeCell ref="A26:A28"/>
    <mergeCell ref="B26:B28"/>
    <mergeCell ref="C26:C28"/>
    <mergeCell ref="D26:D28"/>
    <mergeCell ref="E26:E28"/>
    <mergeCell ref="F26:F28"/>
    <mergeCell ref="G27:G28"/>
    <mergeCell ref="A174:A180"/>
    <mergeCell ref="C166:C170"/>
    <mergeCell ref="C78:C80"/>
    <mergeCell ref="D78:D80"/>
    <mergeCell ref="A94:A98"/>
    <mergeCell ref="B94:B98"/>
    <mergeCell ref="C94:C98"/>
    <mergeCell ref="A118:A122"/>
    <mergeCell ref="B118:B122"/>
    <mergeCell ref="C182:K182"/>
    <mergeCell ref="A7:C7"/>
    <mergeCell ref="A6:C6"/>
    <mergeCell ref="A91:C91"/>
    <mergeCell ref="A19:A20"/>
    <mergeCell ref="B19:B20"/>
    <mergeCell ref="C19:C20"/>
    <mergeCell ref="D19:D20"/>
    <mergeCell ref="E19:E20"/>
    <mergeCell ref="F19:F20"/>
    <mergeCell ref="A166:A170"/>
    <mergeCell ref="B166:B170"/>
    <mergeCell ref="A21:A25"/>
    <mergeCell ref="B21:B25"/>
    <mergeCell ref="D21:D25"/>
    <mergeCell ref="D33:D37"/>
    <mergeCell ref="D16:D18"/>
    <mergeCell ref="E16:E18"/>
    <mergeCell ref="F16:F18"/>
    <mergeCell ref="G16:G18"/>
    <mergeCell ref="F30:F32"/>
    <mergeCell ref="G30:G32"/>
    <mergeCell ref="D84:D87"/>
    <mergeCell ref="A110:A114"/>
    <mergeCell ref="G175:G176"/>
    <mergeCell ref="G177:G178"/>
    <mergeCell ref="G179:G180"/>
    <mergeCell ref="D94:D98"/>
    <mergeCell ref="A144:A150"/>
    <mergeCell ref="B144:B150"/>
    <mergeCell ref="C144:C150"/>
    <mergeCell ref="D166:D170"/>
    <mergeCell ref="E166:E170"/>
    <mergeCell ref="B156:B160"/>
    <mergeCell ref="C156:C160"/>
    <mergeCell ref="D156:D160"/>
    <mergeCell ref="E156:E160"/>
    <mergeCell ref="B161:B165"/>
    <mergeCell ref="C161:C165"/>
    <mergeCell ref="A171:A173"/>
    <mergeCell ref="B171:B173"/>
    <mergeCell ref="C171:C173"/>
    <mergeCell ref="D171:D173"/>
    <mergeCell ref="E171:E173"/>
    <mergeCell ref="F171:F173"/>
    <mergeCell ref="D161:D165"/>
    <mergeCell ref="E161:E165"/>
    <mergeCell ref="D144:D150"/>
    <mergeCell ref="E144:E150"/>
    <mergeCell ref="F144:F150"/>
    <mergeCell ref="A156:A160"/>
    <mergeCell ref="C115:C117"/>
    <mergeCell ref="C110:C114"/>
    <mergeCell ref="A115:A117"/>
    <mergeCell ref="B115:B117"/>
    <mergeCell ref="E115:E117"/>
    <mergeCell ref="A161:A165"/>
    <mergeCell ref="C151:C155"/>
    <mergeCell ref="D151:D155"/>
    <mergeCell ref="A123:A129"/>
    <mergeCell ref="B123:B129"/>
    <mergeCell ref="C123:C129"/>
    <mergeCell ref="D123:D129"/>
    <mergeCell ref="E123:E129"/>
    <mergeCell ref="C118:C122"/>
    <mergeCell ref="E151:E155"/>
    <mergeCell ref="A151:A155"/>
    <mergeCell ref="B151:B155"/>
    <mergeCell ref="E110:E114"/>
    <mergeCell ref="A130:A136"/>
    <mergeCell ref="B130:B136"/>
    <mergeCell ref="C130:C136"/>
    <mergeCell ref="D130:D136"/>
    <mergeCell ref="E130:E136"/>
    <mergeCell ref="F130:F136"/>
    <mergeCell ref="A137:A143"/>
    <mergeCell ref="B137:B143"/>
    <mergeCell ref="C137:C143"/>
    <mergeCell ref="D137:D143"/>
    <mergeCell ref="E137:E143"/>
    <mergeCell ref="F137:F143"/>
  </mergeCells>
  <printOptions horizontalCentered="1"/>
  <pageMargins left="0" right="0" top="0" bottom="0" header="0.31496062992125984" footer="0.31496062992125984"/>
  <pageSetup paperSize="9" scale="40" fitToHeight="2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форма 1</vt:lpstr>
      <vt:lpstr>Форма 2</vt:lpstr>
      <vt:lpstr>'форма 1'!Заголовки_для_печати</vt:lpstr>
      <vt:lpstr>'Форма 2'!Заголовки_для_печати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2024-04-04T01:55:21Z</cp:lastPrinted>
  <dcterms:created xsi:type="dcterms:W3CDTF">2014-04-25T08:41:06Z</dcterms:created>
  <dcterms:modified xsi:type="dcterms:W3CDTF">2024-04-23T09:29:05Z</dcterms:modified>
</cp:coreProperties>
</file>