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740" activeTab="5"/>
  </bookViews>
  <sheets>
    <sheet name="Белочка" sheetId="1" r:id="rId1"/>
    <sheet name="Дружба" sheetId="2" r:id="rId2"/>
    <sheet name="Лесозавод" sheetId="3" r:id="rId3"/>
    <sheet name="МПМК" sheetId="4" r:id="rId4"/>
    <sheet name="ХДСУ" sheetId="5" r:id="rId5"/>
    <sheet name="Причулымская СОШ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5">#REF!</definedName>
    <definedName name="a" localSheetId="4">#REF!</definedName>
    <definedName name="a">#REF!</definedName>
    <definedName name="ADD_2">'[4]Диапазоны'!#REF!</definedName>
    <definedName name="ADD_4">'[4]Диапазоны'!#REF!</definedName>
    <definedName name="ADD2_1">'[4]Диапазоны'!#REF!</definedName>
    <definedName name="ADD3_1">'[4]Диапазоны'!#REF!</definedName>
    <definedName name="HTML_CodePage" hidden="1">1251</definedName>
    <definedName name="HTML_Control" localSheetId="0" hidden="1">{"'Лист1'!$A$1:$W$63"}</definedName>
    <definedName name="HTML_Control" localSheetId="1" hidden="1">{"'Лист1'!$A$1:$W$63"}</definedName>
    <definedName name="HTML_Control" localSheetId="2" hidden="1">{"'Лист1'!$A$1:$W$63"}</definedName>
    <definedName name="HTML_Control" localSheetId="3" hidden="1">{"'Лист1'!$A$1:$W$63"}</definedName>
    <definedName name="HTML_Control" localSheetId="5" hidden="1">{"'Лист1'!$A$1:$W$63"}</definedName>
    <definedName name="HTML_Control" localSheetId="4" hidden="1">{"'Лист1'!$A$1:$W$63"}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j" localSheetId="0">'[5]Расчет темпер.графика -Федецкий'!$G$6</definedName>
    <definedName name="j" localSheetId="1">'[12]Расчет темпер.графика -Федецкий'!$G$6</definedName>
    <definedName name="j" localSheetId="4">'[5]Расчет темпер.графика -Федецкий'!$G$6</definedName>
    <definedName name="j">'[5]Расчет темпер.графика -Федецкий'!$G$6</definedName>
    <definedName name="mo">#REF!</definedName>
    <definedName name="MO_LIST_ORG">'[7]REESTR'!#REF!</definedName>
    <definedName name="MO_LIST1">'[4]REESTR'!$X$2:$X$85</definedName>
    <definedName name="Nгвс" localSheetId="0">'[2]Т.1.Тепл нагрузки'!$K$6</definedName>
    <definedName name="Nгвс" localSheetId="1">#REF!</definedName>
    <definedName name="Nгвс" localSheetId="2">'[13]Т.1.Тепл нагрузки'!$K$6</definedName>
    <definedName name="Nгвс" localSheetId="3">#REF!</definedName>
    <definedName name="Nгвс" localSheetId="5">'[18]Т.1.Тепл нагрузки'!$K$6</definedName>
    <definedName name="Nгвс" localSheetId="4">'[16]Т.1.Тепл нагрузки'!$K$6</definedName>
    <definedName name="Nгвс">'[3]Т.1.Тепл нагрузки'!$L$6</definedName>
    <definedName name="Nот" localSheetId="0">'[2]Т.1.Тепл нагрузки'!$K$5</definedName>
    <definedName name="Nот" localSheetId="1">#REF!</definedName>
    <definedName name="Nот" localSheetId="2">'[13]Т.1.Тепл нагрузки'!$K$5</definedName>
    <definedName name="Nот" localSheetId="3">#REF!</definedName>
    <definedName name="Nот" localSheetId="5">'[18]Т.1.Тепл нагрузки'!$K$5</definedName>
    <definedName name="Nот" localSheetId="4">'[16]Т.1.Тепл нагрузки'!$K$5</definedName>
    <definedName name="Nот">'[3]Т.1.Тепл нагрузки'!$L$5</definedName>
    <definedName name="oktmo">#REF!</definedName>
    <definedName name="OKTMO_LIST1">'[4]REESTR'!$R$2</definedName>
    <definedName name="org">'[8]Анкета'!$A$5</definedName>
    <definedName name="raion">'[8]Анкета'!$B$8</definedName>
    <definedName name="tнр" localSheetId="0">#REF!</definedName>
    <definedName name="tнр" localSheetId="1">#REF!</definedName>
    <definedName name="tнр" localSheetId="2">#REF!</definedName>
    <definedName name="tнр" localSheetId="3">#REF!</definedName>
    <definedName name="tнр" localSheetId="5">#REF!</definedName>
    <definedName name="tнр" localSheetId="4">#REF!</definedName>
    <definedName name="tнр">#REF!</definedName>
    <definedName name="tрв" localSheetId="0">'[5]Расчет темпер.графика -Федецкий'!$G$2</definedName>
    <definedName name="tрв" localSheetId="1">'[12]Расчет темпер.графика -Федецкий'!$G$2</definedName>
    <definedName name="tрв" localSheetId="4">'[5]Расчет темпер.графика -Федецкий'!$G$2</definedName>
    <definedName name="tрв">'[5]Расчет темпер.графика -Федецкий'!$G$2</definedName>
    <definedName name="tрн" localSheetId="0">'[5]Расчет темпер.графика -Федецкий'!$G$3</definedName>
    <definedName name="tрн" localSheetId="1">'[12]Расчет темпер.графика -Федецкий'!$G$3</definedName>
    <definedName name="tрн" localSheetId="4">'[5]Расчет темпер.графика -Федецкий'!$G$3</definedName>
    <definedName name="tрн">'[5]Расчет темпер.графика -Федецкий'!$G$3</definedName>
    <definedName name="tро" localSheetId="0">'[5]Расчет темпер.графика -Федецкий'!$G$5</definedName>
    <definedName name="tро" localSheetId="1">'[12]Расчет темпер.графика -Федецкий'!$G$5</definedName>
    <definedName name="tро" localSheetId="4">'[5]Расчет темпер.графика -Федецкий'!$G$5</definedName>
    <definedName name="tро">'[5]Расчет темпер.графика -Федецкий'!$G$5</definedName>
    <definedName name="tрп" localSheetId="0">'[5]Расчет темпер.графика -Федецкий'!$G$4</definedName>
    <definedName name="tрп" localSheetId="1">'[12]Расчет темпер.графика -Федецкий'!$G$4</definedName>
    <definedName name="tрп" localSheetId="4">'[5]Расчет темпер.графика -Федецкий'!$G$4</definedName>
    <definedName name="tрп">'[5]Расчет темпер.графика -Федецкий'!$G$4</definedName>
    <definedName name="tср.о" localSheetId="0">#REF!</definedName>
    <definedName name="tср.о" localSheetId="1">#REF!</definedName>
    <definedName name="tср.о" localSheetId="2">#REF!</definedName>
    <definedName name="tср.о" localSheetId="3">#REF!</definedName>
    <definedName name="tср.о" localSheetId="5">#REF!</definedName>
    <definedName name="tср.о" localSheetId="4">#REF!</definedName>
    <definedName name="tср.о">#REF!</definedName>
    <definedName name="wrn.ГРЭС._.н." localSheetId="0" hidden="1">{"ГРЭС надз",#N/A,FALSE,"Исх"}</definedName>
    <definedName name="wrn.ГРЭС._.н." localSheetId="1" hidden="1">{"ГРЭС надз",#N/A,FALSE,"Исх"}</definedName>
    <definedName name="wrn.ГРЭС._.н." localSheetId="2" hidden="1">{"ГРЭС надз",#N/A,FALSE,"Исх"}</definedName>
    <definedName name="wrn.ГРЭС._.н." localSheetId="3" hidden="1">{"ГРЭС надз",#N/A,FALSE,"Исх"}</definedName>
    <definedName name="wrn.ГРЭС._.н." localSheetId="5" hidden="1">{"ГРЭС надз",#N/A,FALSE,"Исх"}</definedName>
    <definedName name="wrn.ГРЭС._.н." localSheetId="4" hidden="1">{"ГРЭС надз",#N/A,FALSE,"Исх"}</definedName>
    <definedName name="wrn.ГРЭС._.н." hidden="1">{"ГРЭС надз",#N/A,FALSE,"Исх"}</definedName>
    <definedName name="Wв" localSheetId="0">#REF!</definedName>
    <definedName name="Wв" localSheetId="1">#REF!</definedName>
    <definedName name="Wв" localSheetId="2">#REF!</definedName>
    <definedName name="Wв" localSheetId="3">#REF!</definedName>
    <definedName name="Wв" localSheetId="5">#REF!</definedName>
    <definedName name="Wв" localSheetId="4">#REF!</definedName>
    <definedName name="Wв">#REF!</definedName>
    <definedName name="ааа" localSheetId="0" hidden="1">{"'Лист1'!$A$1:$W$63"}</definedName>
    <definedName name="ааа" localSheetId="1" hidden="1">{"'Лист1'!$A$1:$W$63"}</definedName>
    <definedName name="ааа" localSheetId="2" hidden="1">{"'Лист1'!$A$1:$W$63"}</definedName>
    <definedName name="ааа" localSheetId="3" hidden="1">{"'Лист1'!$A$1:$W$63"}</definedName>
    <definedName name="ааа" localSheetId="5" hidden="1">{"'Лист1'!$A$1:$W$63"}</definedName>
    <definedName name="ааа" localSheetId="4" hidden="1">{"'Лист1'!$A$1:$W$63"}</definedName>
    <definedName name="ааа" hidden="1">{"'Лист1'!$A$1:$W$63"}</definedName>
    <definedName name="Груп_хвс_с_типом_водоснабжения">#REF!</definedName>
    <definedName name="Кв" localSheetId="0">'[5]Расчет темпер.графика -Федецкий'!$G$8</definedName>
    <definedName name="Кв" localSheetId="1">'[12]Расчет темпер.графика -Федецкий'!$G$8</definedName>
    <definedName name="Кв" localSheetId="4">'[5]Расчет темпер.графика -Федецкий'!$G$8</definedName>
    <definedName name="Кв">'[5]Расчет темпер.графика -Федецкий'!$G$8</definedName>
    <definedName name="Кн" localSheetId="0">'[5]Расчет темпер.графика -Федецкий'!$G$10</definedName>
    <definedName name="Кн" localSheetId="1">'[12]Расчет темпер.графика -Федецкий'!$G$10</definedName>
    <definedName name="Кн" localSheetId="4">'[5]Расчет темпер.графика -Федецкий'!$G$10</definedName>
    <definedName name="Кн">'[5]Расчет темпер.графика -Федецкий'!$G$10</definedName>
    <definedName name="КПП1" localSheetId="0" hidden="1">{"'Лист1'!$A$1:$W$63"}</definedName>
    <definedName name="КПП1" localSheetId="1" hidden="1">{"'Лист1'!$A$1:$W$63"}</definedName>
    <definedName name="КПП1" localSheetId="2" hidden="1">{"'Лист1'!$A$1:$W$63"}</definedName>
    <definedName name="КПП1" localSheetId="3" hidden="1">{"'Лист1'!$A$1:$W$63"}</definedName>
    <definedName name="КПП1" localSheetId="5" hidden="1">{"'Лист1'!$A$1:$W$63"}</definedName>
    <definedName name="КПП1" localSheetId="4" hidden="1">{"'Лист1'!$A$1:$W$63"}</definedName>
    <definedName name="КПП1" hidden="1">{"'Лист1'!$A$1:$W$63"}</definedName>
    <definedName name="лл" localSheetId="0" hidden="1">{"'Лист1'!$A$1:$W$63"}</definedName>
    <definedName name="лл" localSheetId="1" hidden="1">{"'Лист1'!$A$1:$W$63"}</definedName>
    <definedName name="лл" localSheetId="2" hidden="1">{"'Лист1'!$A$1:$W$63"}</definedName>
    <definedName name="лл" localSheetId="3" hidden="1">{"'Лист1'!$A$1:$W$63"}</definedName>
    <definedName name="лл" localSheetId="5" hidden="1">{"'Лист1'!$A$1:$W$63"}</definedName>
    <definedName name="лл" localSheetId="4" hidden="1">{"'Лист1'!$A$1:$W$63"}</definedName>
    <definedName name="лл" hidden="1">{"'Лист1'!$A$1:$W$63"}</definedName>
    <definedName name="Нефтебаза1" localSheetId="0" hidden="1">{"'Лист1'!$A$1:$W$63"}</definedName>
    <definedName name="Нефтебаза1" localSheetId="1" hidden="1">{"'Лист1'!$A$1:$W$63"}</definedName>
    <definedName name="Нефтебаза1" localSheetId="2" hidden="1">{"'Лист1'!$A$1:$W$63"}</definedName>
    <definedName name="Нефтебаза1" localSheetId="3" hidden="1">{"'Лист1'!$A$1:$W$63"}</definedName>
    <definedName name="Нефтебаза1" localSheetId="5" hidden="1">{"'Лист1'!$A$1:$W$63"}</definedName>
    <definedName name="Нефтебаза1" localSheetId="4" hidden="1">{"'Лист1'!$A$1:$W$63"}</definedName>
    <definedName name="Нефтебаза1" hidden="1">{"'Лист1'!$A$1:$W$63"}</definedName>
    <definedName name="_xlnm.Print_Area" localSheetId="0">'Белочка'!$A$1:$K$35</definedName>
    <definedName name="_xlnm.Print_Area" localSheetId="1">'Дружба'!$A$1:$K$150</definedName>
    <definedName name="_xlnm.Print_Area" localSheetId="2">'Лесозавод'!$A$1:$K$45</definedName>
    <definedName name="_xlnm.Print_Area" localSheetId="3">'МПМК'!$A$1:$K$64</definedName>
    <definedName name="_xlnm.Print_Area" localSheetId="5">'Причулымская СОШ'!$A$1:$K$22</definedName>
    <definedName name="_xlnm.Print_Area" localSheetId="4">'ХДСУ'!$A$1:$J$31</definedName>
    <definedName name="ПМК1" localSheetId="0" hidden="1">{"'Лист1'!$A$1:$W$63"}</definedName>
    <definedName name="ПМК1" localSheetId="1" hidden="1">{"'Лист1'!$A$1:$W$63"}</definedName>
    <definedName name="ПМК1" localSheetId="2" hidden="1">{"'Лист1'!$A$1:$W$63"}</definedName>
    <definedName name="ПМК1" localSheetId="3" hidden="1">{"'Лист1'!$A$1:$W$63"}</definedName>
    <definedName name="ПМК1" localSheetId="5" hidden="1">{"'Лист1'!$A$1:$W$63"}</definedName>
    <definedName name="ПМК1" localSheetId="4" hidden="1">{"'Лист1'!$A$1:$W$63"}</definedName>
    <definedName name="ПМК1" hidden="1">{"'Лист1'!$A$1:$W$63"}</definedName>
    <definedName name="Р5">'[10]Нагрузки АОР Керамик'!$P$6</definedName>
    <definedName name="Смета_общехозяйственных_расходов">#REF!</definedName>
    <definedName name="ХДСУ1" localSheetId="0" hidden="1">{"'Лист1'!$A$1:$W$63"}</definedName>
    <definedName name="ХДСУ1" localSheetId="1" hidden="1">{"'Лист1'!$A$1:$W$63"}</definedName>
    <definedName name="ХДСУ1" localSheetId="2" hidden="1">{"'Лист1'!$A$1:$W$63"}</definedName>
    <definedName name="ХДСУ1" localSheetId="3" hidden="1">{"'Лист1'!$A$1:$W$63"}</definedName>
    <definedName name="ХДСУ1" localSheetId="5" hidden="1">{"'Лист1'!$A$1:$W$63"}</definedName>
    <definedName name="ХДСУ1" localSheetId="4" hidden="1">{"'Лист1'!$A$1:$W$63"}</definedName>
    <definedName name="ХДСУ1" hidden="1">{"'Лист1'!$A$1:$W$63"}</definedName>
  </definedNames>
  <calcPr fullCalcOnLoad="1"/>
</workbook>
</file>

<file path=xl/comments1.xml><?xml version="1.0" encoding="utf-8"?>
<comments xmlns="http://schemas.openxmlformats.org/spreadsheetml/2006/main">
  <authors>
    <author>Федецкий И.И.</author>
  </authors>
  <commentList>
    <comment ref="B7" authorId="0">
      <text>
        <r>
          <rPr>
            <b/>
            <sz val="8"/>
            <rFont val="Tahoma"/>
            <family val="2"/>
          </rPr>
          <t>Федецкий И.И.:</t>
        </r>
        <r>
          <rPr>
            <sz val="8"/>
            <rFont val="Tahoma"/>
            <family val="2"/>
          </rPr>
          <t xml:space="preserve">
Укаазать в 2-х трубном исполнении</t>
        </r>
      </text>
    </comment>
  </commentList>
</comments>
</file>

<file path=xl/comments2.xml><?xml version="1.0" encoding="utf-8"?>
<comments xmlns="http://schemas.openxmlformats.org/spreadsheetml/2006/main">
  <authors>
    <author>Федецкий И.И.</author>
  </authors>
  <commentList>
    <comment ref="B7" authorId="0">
      <text>
        <r>
          <rPr>
            <b/>
            <sz val="8"/>
            <rFont val="Tahoma"/>
            <family val="2"/>
          </rPr>
          <t>Федецкий И.И.:</t>
        </r>
        <r>
          <rPr>
            <sz val="8"/>
            <rFont val="Tahoma"/>
            <family val="2"/>
          </rPr>
          <t xml:space="preserve">
Укаазать в 2-х трубном исполнении</t>
        </r>
      </text>
    </comment>
  </commentList>
</comments>
</file>

<file path=xl/comments3.xml><?xml version="1.0" encoding="utf-8"?>
<comments xmlns="http://schemas.openxmlformats.org/spreadsheetml/2006/main">
  <authors>
    <author>Федецкий И.И.</author>
  </authors>
  <commentList>
    <comment ref="B7" authorId="0">
      <text>
        <r>
          <rPr>
            <b/>
            <sz val="8"/>
            <rFont val="Tahoma"/>
            <family val="2"/>
          </rPr>
          <t>Федецкий И.И.:</t>
        </r>
        <r>
          <rPr>
            <sz val="8"/>
            <rFont val="Tahoma"/>
            <family val="2"/>
          </rPr>
          <t xml:space="preserve">
Укаазать в 2-х трубном исполнении</t>
        </r>
      </text>
    </comment>
  </commentList>
</comments>
</file>

<file path=xl/comments5.xml><?xml version="1.0" encoding="utf-8"?>
<comments xmlns="http://schemas.openxmlformats.org/spreadsheetml/2006/main">
  <authors>
    <author>Федецкий И.И.</author>
  </authors>
  <commentList>
    <comment ref="B7" authorId="0">
      <text>
        <r>
          <rPr>
            <b/>
            <sz val="8"/>
            <rFont val="Tahoma"/>
            <family val="2"/>
          </rPr>
          <t>Федецкий И.И.:</t>
        </r>
        <r>
          <rPr>
            <sz val="8"/>
            <rFont val="Tahoma"/>
            <family val="2"/>
          </rPr>
          <t xml:space="preserve">
Укаазать в 2-х трубном исполнении</t>
        </r>
      </text>
    </comment>
  </commentList>
</comments>
</file>

<file path=xl/comments6.xml><?xml version="1.0" encoding="utf-8"?>
<comments xmlns="http://schemas.openxmlformats.org/spreadsheetml/2006/main">
  <authors>
    <author>Федецкий И.И.</author>
  </authors>
  <commentList>
    <comment ref="B7" authorId="0">
      <text>
        <r>
          <rPr>
            <b/>
            <sz val="8"/>
            <rFont val="Tahoma"/>
            <family val="0"/>
          </rPr>
          <t>Федецкий И.И.:</t>
        </r>
        <r>
          <rPr>
            <sz val="8"/>
            <rFont val="Tahoma"/>
            <family val="0"/>
          </rPr>
          <t xml:space="preserve">
Укаазать в 2-х трубном исполнении</t>
        </r>
      </text>
    </comment>
  </commentList>
</comments>
</file>

<file path=xl/sharedStrings.xml><?xml version="1.0" encoding="utf-8"?>
<sst xmlns="http://schemas.openxmlformats.org/spreadsheetml/2006/main" count="663" uniqueCount="72">
  <si>
    <t>Таблица Т.2.</t>
  </si>
  <si>
    <t xml:space="preserve">Характеристика тепловых сетей </t>
  </si>
  <si>
    <t>Район г. Асино                               Организация МУП АГП "Энергия-Т1"                              Котельная Белочка</t>
  </si>
  <si>
    <t>Схема тепловой сети отопления ( открытая или закрытая)</t>
  </si>
  <si>
    <t>Закрытая</t>
  </si>
  <si>
    <t>Наименование участка (района) эксплуатации тепловых сетей</t>
  </si>
  <si>
    <r>
      <t xml:space="preserve">Протяженность участка по трассе                </t>
    </r>
    <r>
      <rPr>
        <b/>
        <sz val="10"/>
        <rFont val="Times New Roman"/>
        <family val="1"/>
      </rPr>
      <t>в 2-х трубном исполнении, м</t>
    </r>
  </si>
  <si>
    <t>Количество тепловых камер (пунктов)</t>
  </si>
  <si>
    <t>Условный диаметр труб, Ду,мм</t>
  </si>
  <si>
    <t>Количество труб в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</si>
  <si>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</si>
  <si>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</si>
  <si>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</si>
  <si>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Тип изоляции</t>
  </si>
  <si>
    <t>Год постройки</t>
  </si>
  <si>
    <t>подающей линии</t>
  </si>
  <si>
    <t>обратной линии</t>
  </si>
  <si>
    <t>Отопление (подземный способ прокладки)</t>
  </si>
  <si>
    <t>канальная</t>
  </si>
  <si>
    <t>мин. вата</t>
  </si>
  <si>
    <t>Отопление (надземный способ прокладки)</t>
  </si>
  <si>
    <t>надземная</t>
  </si>
  <si>
    <t>Итого</t>
  </si>
  <si>
    <t>Горячее водоснабжение (подземный способ прокладки)</t>
  </si>
  <si>
    <t>Горячее водоснабжение (надземный способ прокладки)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</si>
  <si>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=75 / 58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см.Прил.№1 к Табл.2).</t>
    </r>
  </si>
  <si>
    <t>Руководитель организации _____________________ /А.В. Вульф/</t>
  </si>
  <si>
    <t>Исполнитель _____________________ / Е.С. Грязнов / тел.  2-51-51</t>
  </si>
  <si>
    <t>Район г.Асино                Организация МУП АГП "Энергия-Т1"                 Котельная "Дружба"</t>
  </si>
  <si>
    <t>Мин. вата</t>
  </si>
  <si>
    <t>1959-1990</t>
  </si>
  <si>
    <t>URSA</t>
  </si>
  <si>
    <t>бесканальная</t>
  </si>
  <si>
    <t>ППУ</t>
  </si>
  <si>
    <t>1990-1998</t>
  </si>
  <si>
    <t>19</t>
  </si>
  <si>
    <t>20</t>
  </si>
  <si>
    <t>150 / 100</t>
  </si>
  <si>
    <t>150 / 125</t>
  </si>
  <si>
    <t>125 / 100</t>
  </si>
  <si>
    <t>100 / 80</t>
  </si>
  <si>
    <t>80 / 65</t>
  </si>
  <si>
    <t>65 / 50</t>
  </si>
  <si>
    <t>50 / 40</t>
  </si>
  <si>
    <t>50 / 32</t>
  </si>
  <si>
    <t>40 / 25</t>
  </si>
  <si>
    <t>40 / 32</t>
  </si>
  <si>
    <t>32 / 25</t>
  </si>
  <si>
    <t>32 / 20</t>
  </si>
  <si>
    <t>25 / 20</t>
  </si>
  <si>
    <t>20 / 15</t>
  </si>
  <si>
    <t>100 / 50</t>
  </si>
  <si>
    <t xml:space="preserve">                                                                                                                   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</si>
  <si>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75 / 58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см.Прил.№1 к Табл.2).</t>
    </r>
  </si>
  <si>
    <t>Исполнитель _____________________ /Е.С. Грязнов/ тел. 2-51-51</t>
  </si>
  <si>
    <t>Район г. Асино                Организация МУП АГП "Энергия-Т1"                Котельная "Лесозавод"</t>
  </si>
  <si>
    <t>закрытая</t>
  </si>
  <si>
    <t>ср. диаметр, мм</t>
  </si>
  <si>
    <t xml:space="preserve">отопление </t>
  </si>
  <si>
    <t>ГВС</t>
  </si>
  <si>
    <t>Общий</t>
  </si>
  <si>
    <t>Район г. Асино                      Организация МУП АГП "Энергия-Т1"                  Котельная "МПМК"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</si>
  <si>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75  /  58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см.Прил.№1 к Табл.2).</t>
    </r>
  </si>
  <si>
    <t xml:space="preserve"> Район Асиновский                             Организация МУП АГП "Энергия-Т1"                             БМК "ХДСУ"</t>
  </si>
  <si>
    <t>Схема тепловой сети отопления (открытая или закрытая)</t>
  </si>
  <si>
    <t>Разность геодезических отметок, м</t>
  </si>
  <si>
    <t>Гидравлическое сопротивление сети, Рг=Рпод-Робр, м.вод.ст.</t>
  </si>
  <si>
    <t>Отопление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</si>
  <si>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</si>
  <si>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см.Прил.№1 к Табл.2).</t>
    </r>
  </si>
  <si>
    <t>Исполнитель _____________________ /Е.С. Грязнов/ тел. 2-54-60</t>
  </si>
  <si>
    <r>
      <t xml:space="preserve">Район </t>
    </r>
    <r>
      <rPr>
        <b/>
        <i/>
        <u val="single"/>
        <sz val="12"/>
        <rFont val="Times New Roman Cyr"/>
        <family val="0"/>
      </rPr>
      <t>Асиновский</t>
    </r>
    <r>
      <rPr>
        <b/>
        <sz val="12"/>
        <rFont val="Times New Roman Cyr"/>
        <family val="1"/>
      </rPr>
      <t xml:space="preserve">             Организация МУП АГП "Энергия-Т1"               Котельная </t>
    </r>
    <r>
      <rPr>
        <b/>
        <i/>
        <u val="single"/>
        <sz val="12"/>
        <rFont val="Times New Roman Cyr"/>
        <family val="0"/>
      </rPr>
      <t>"Причулымская СОШ"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</si>
</sst>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0.0"/>
    <numFmt numFmtId="170" formatCode="_-* #,##0_р_._-;\-* #,##0_р_._-;_-* &quot;-&quot;_р_._-;_-@_-"/>
    <numFmt numFmtId="171" formatCode="_-* #,##0.00_р_._-;\-* #,##0.00_р_._-;_-* &quot;-&quot;??_р_._-;_-@_-"/>
  </numFmts>
  <fonts count="72">
    <font>
      <sz val="10"/>
      <name val="Times New Roman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i/>
      <sz val="14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b/>
      <sz val="12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NTHarmonica"/>
      <family val="0"/>
    </font>
    <font>
      <b/>
      <i/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96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8" fontId="19" fillId="0" borderId="1">
      <alignment/>
      <protection locked="0"/>
    </xf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7" applyBorder="0">
      <alignment horizontal="center" vertical="center" wrapText="1"/>
      <protection/>
    </xf>
    <xf numFmtId="168" fontId="30" fillId="28" borderId="1">
      <alignment/>
      <protection/>
    </xf>
    <xf numFmtId="4" fontId="31" fillId="29" borderId="8" applyBorder="0">
      <alignment horizontal="right"/>
      <protection/>
    </xf>
    <xf numFmtId="0" fontId="62" fillId="0" borderId="9" applyNumberFormat="0" applyFill="0" applyAlignment="0" applyProtection="0"/>
    <xf numFmtId="0" fontId="63" fillId="30" borderId="10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4" fillId="31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49" fontId="31" fillId="0" borderId="0" applyBorder="0">
      <alignment vertical="top"/>
      <protection/>
    </xf>
    <xf numFmtId="0" fontId="35" fillId="0" borderId="0">
      <alignment/>
      <protection/>
    </xf>
    <xf numFmtId="49" fontId="31" fillId="0" borderId="0" applyBorder="0">
      <alignment vertical="top"/>
      <protection/>
    </xf>
    <xf numFmtId="49" fontId="31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66" fillId="33" borderId="0" applyNumberFormat="0" applyBorder="0" applyAlignment="0" applyProtection="0"/>
    <xf numFmtId="169" fontId="12" fillId="29" borderId="1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54" fillId="34" borderId="12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27" fillId="0" borderId="0">
      <alignment/>
      <protection/>
    </xf>
    <xf numFmtId="0" fontId="69" fillId="0" borderId="0" applyNumberFormat="0" applyFill="0" applyBorder="0" applyAlignment="0" applyProtection="0"/>
    <xf numFmtId="49" fontId="34" fillId="0" borderId="0">
      <alignment horizontal="center"/>
      <protection/>
    </xf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" fontId="31" fillId="31" borderId="0" applyBorder="0">
      <alignment horizontal="right"/>
      <protection/>
    </xf>
    <xf numFmtId="4" fontId="31" fillId="35" borderId="14" applyBorder="0">
      <alignment horizontal="right"/>
      <protection/>
    </xf>
    <xf numFmtId="4" fontId="31" fillId="31" borderId="8" applyFont="0" applyBorder="0">
      <alignment horizontal="right"/>
      <protection/>
    </xf>
    <xf numFmtId="0" fontId="70" fillId="3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center" vertical="top" wrapText="1"/>
    </xf>
    <xf numFmtId="0" fontId="14" fillId="37" borderId="21" xfId="0" applyFont="1" applyFill="1" applyBorder="1" applyAlignment="1">
      <alignment horizontal="center" wrapText="1"/>
    </xf>
    <xf numFmtId="0" fontId="14" fillId="37" borderId="22" xfId="0" applyFont="1" applyFill="1" applyBorder="1" applyAlignment="1">
      <alignment horizontal="center" wrapText="1"/>
    </xf>
    <xf numFmtId="2" fontId="14" fillId="37" borderId="22" xfId="0" applyNumberFormat="1" applyFont="1" applyFill="1" applyBorder="1" applyAlignment="1">
      <alignment horizontal="center" wrapText="1"/>
    </xf>
    <xf numFmtId="0" fontId="14" fillId="37" borderId="2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24" xfId="0" applyFont="1" applyBorder="1" applyAlignment="1">
      <alignment horizontal="center" vertical="top" wrapText="1"/>
    </xf>
    <xf numFmtId="0" fontId="14" fillId="37" borderId="21" xfId="0" applyFont="1" applyFill="1" applyBorder="1" applyAlignment="1">
      <alignment horizontal="center" vertical="top" wrapText="1"/>
    </xf>
    <xf numFmtId="0" fontId="14" fillId="37" borderId="22" xfId="0" applyFont="1" applyFill="1" applyBorder="1" applyAlignment="1">
      <alignment horizontal="center" vertical="top" wrapText="1"/>
    </xf>
    <xf numFmtId="4" fontId="14" fillId="37" borderId="22" xfId="0" applyNumberFormat="1" applyFont="1" applyFill="1" applyBorder="1" applyAlignment="1">
      <alignment horizontal="center" vertical="top" wrapText="1"/>
    </xf>
    <xf numFmtId="0" fontId="14" fillId="37" borderId="23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76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49" fontId="11" fillId="0" borderId="27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4" fontId="14" fillId="0" borderId="22" xfId="0" applyNumberFormat="1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169" fontId="11" fillId="0" borderId="8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9" fontId="11" fillId="0" borderId="8" xfId="0" applyNumberFormat="1" applyFont="1" applyBorder="1" applyAlignment="1">
      <alignment horizontal="center" vertical="top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69" fontId="14" fillId="37" borderId="22" xfId="0" applyNumberFormat="1" applyFont="1" applyFill="1" applyBorder="1" applyAlignment="1">
      <alignment horizontal="center" wrapText="1"/>
    </xf>
    <xf numFmtId="1" fontId="14" fillId="37" borderId="22" xfId="0" applyNumberFormat="1" applyFont="1" applyFill="1" applyBorder="1" applyAlignment="1">
      <alignment horizontal="center" wrapText="1"/>
    </xf>
    <xf numFmtId="4" fontId="14" fillId="37" borderId="22" xfId="0" applyNumberFormat="1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169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/>
    </xf>
    <xf numFmtId="0" fontId="10" fillId="0" borderId="0" xfId="76" applyFont="1" applyBorder="1" applyAlignment="1">
      <alignment vertical="center" wrapText="1"/>
      <protection/>
    </xf>
    <xf numFmtId="0" fontId="18" fillId="0" borderId="0" xfId="0" applyFont="1" applyBorder="1" applyAlignment="1">
      <alignment/>
    </xf>
    <xf numFmtId="0" fontId="10" fillId="0" borderId="0" xfId="77" applyFont="1" applyBorder="1" applyAlignment="1">
      <alignment horizontal="left"/>
      <protection/>
    </xf>
    <xf numFmtId="0" fontId="11" fillId="0" borderId="15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37" borderId="0" xfId="0" applyFont="1" applyFill="1" applyAlignment="1">
      <alignment horizontal="left" vertical="center" wrapText="1"/>
    </xf>
    <xf numFmtId="0" fontId="10" fillId="0" borderId="0" xfId="76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1" borderId="21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0" xfId="77" applyFont="1" applyBorder="1" applyAlignment="1">
      <alignment horizontal="center"/>
      <protection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1" borderId="23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 2" xfId="68"/>
    <cellStyle name="Обычный 2 2" xfId="69"/>
    <cellStyle name="Обычный 2 2 2" xfId="70"/>
    <cellStyle name="Обычный 2 2 2 2" xfId="71"/>
    <cellStyle name="Обычный 2 3_Анкета и Приложения 2011" xfId="72"/>
    <cellStyle name="Обычный 3" xfId="73"/>
    <cellStyle name="Обычный 4" xfId="74"/>
    <cellStyle name="Обычный 5" xfId="75"/>
    <cellStyle name="Обычный_Таблица нагрузок потребителей (ред)" xfId="76"/>
    <cellStyle name="Обычный_Таблицы для мониторинга котельных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8;&#1045;&#1055;&#1051;&#1054;%20&#1040;&#1089;&#1080;&#1085;&#1086;%20&#1040;&#1058;&#1050;%202009&#1075;\&#1056;&#1072;&#1089;&#1095;&#1077;&#1090;%20&#1085;&#1086;&#1088;&#1084;&#1072;&#1090;&#1080;&#1074;&#1086;&#1074;%202009%20&#1040;&#1058;&#1050;\&#1082;.&#1041;&#1077;&#1083;&#1086;&#1095;&#1082;&#1072;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1\ptodoc\&#1042;&#1096;&#1080;&#1074;&#1094;&#1077;&#1074;\&#1042;.&#1070;\&#1055;&#1086;&#1090;&#1088;&#1077;&#1073;&#1080;&#1090;&#1077;&#1083;&#1080;%202004%20&#1075;&#1086;&#1076;\&#1053;&#1072;&#1075;&#1088;&#1091;&#1079;&#1082;&#1080;%20&#1040;&#1054;&#1056;%20&#1050;&#1077;&#1088;&#1072;&#1084;&#108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Users\&#1054;&#1087;&#1077;&#1088;&#1072;&#1090;&#1086;&#1088;\Desktop\&#1058;&#1072;&#1088;&#1080;&#1092;%20&#1090;&#1077;&#1087;&#1083;&#1086;&#1074;&#1072;&#1103;%20&#1101;&#1085;&#1077;&#1088;&#1075;&#1080;&#1103;%202015\&#1058;&#1072;&#1088;&#1080;&#1092;%20&#1090;&#1077;&#1087;&#1083;&#1086;&#1074;&#1072;&#1103;%20&#1101;&#1085;&#1077;&#1088;&#1075;&#1080;&#1103;%202015\&#1054;&#1054;&#1054;%20&#1058;&#1069;&#1056;%20&#8470;1\&#1044;&#1088;&#1091;&#1078;&#1073;&#1072;-2!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2;&#1086;&#1080;%20&#1076;&#1086;&#1082;&#1091;&#1084;&#1077;&#1085;&#1090;&#1099;\&#1060;&#1048;&#1048;-&#1040;&#1056;&#1061;&#1048;&#1042;\&#1056;&#1072;&#1089;&#1095;&#1077;&#1090;%20&#1090;&#1077;&#1084;&#1087;&#1077;&#1088;&#1072;&#1090;&#1091;&#1088;&#1085;&#1086;&#1075;&#1086;%20&#1075;&#1088;&#1072;&#1092;&#1080;&#1082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Users\&#1054;&#1087;&#1077;&#1088;&#1072;&#1090;&#1086;&#1088;\Desktop\&#1058;&#1072;&#1088;&#1080;&#1092;%20&#1090;&#1077;&#1087;&#1083;&#1086;&#1074;&#1072;&#1103;%20&#1101;&#1085;&#1077;&#1088;&#1075;&#1080;&#1103;%202015\&#1058;&#1072;&#1088;&#1080;&#1092;%20&#1090;&#1077;&#1087;&#1083;&#1086;&#1074;&#1072;&#1103;%20&#1101;&#1085;&#1077;&#1088;&#1075;&#1080;&#1103;%202015\&#1054;&#1054;&#1054;%20&#1058;&#1069;&#1056;%20&#8470;4\&#1051;&#1077;&#1089;&#1086;&#1079;&#1072;&#1074;&#1086;&#1076;!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iles\&#1055;&#1058;&#1054;\&#1055;&#1086;&#1095;&#1090;&#1072;%20&#1055;&#1058;&#1054;\&#1058;&#1072;&#1088;&#1080;&#1092;%20&#1085;&#1072;%20&#1090;&#1077;&#1087;&#1083;&#1086;&#1074;&#1091;&#1102;%20&#1101;&#1085;&#1077;&#1088;&#1075;&#1080;&#1102;%202014\&#1057;&#1093;&#1077;&#1084;&#1099;%20&#1090;&#1077;&#1087;&#1083;&#1086;&#1074;&#1099;&#1093;%20&#1089;&#1077;&#1090;&#1077;&#1081;%20&#1075;.%20&#1040;&#1089;&#1080;&#1085;&#10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Users\&#1054;&#1087;&#1077;&#1088;&#1072;&#1090;&#1086;&#1088;\Desktop\&#1058;&#1072;&#1088;&#1080;&#1092;%20&#1090;&#1077;&#1087;&#1083;&#1086;&#1074;&#1072;&#1103;%20&#1101;&#1085;&#1077;&#1088;&#1075;&#1080;&#1103;%202015\&#1058;&#1072;&#1088;&#1080;&#1092;%20&#1090;&#1077;&#1087;&#1083;&#1086;&#1074;&#1072;&#1103;%20&#1101;&#1085;&#1077;&#1088;&#1075;&#1080;&#1103;%202015\&#1054;&#1054;&#1054;%20&#1058;&#1069;&#1056;%20&#8470;4\&#1052;&#1055;&#1052;&#1050;!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Users\&#1054;&#1087;&#1077;&#1088;&#1072;&#1090;&#1086;&#1088;\Desktop\&#1058;&#1072;&#1088;&#1080;&#1092;%20&#1090;&#1077;&#1087;&#1083;&#1086;&#1074;&#1072;&#1103;%20&#1101;&#1085;&#1077;&#1088;&#1075;&#1080;&#1103;%202015\&#1058;&#1072;&#1088;&#1080;&#1092;%20&#1090;&#1077;&#1087;&#1083;&#1086;&#1074;&#1072;&#1103;%20&#1101;&#1085;&#1077;&#1088;&#1075;&#1080;&#1103;%202015\&#1054;&#1054;&#1054;%20&#1058;&#1069;&#1056;%20&#8470;1\&#1041;&#1052;&#1050;%20&#1061;&#1044;&#1057;&#1059;!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&#1048;&#1085;&#1078;&#1077;&#1085;&#1077;&#1088;.&#1055;&#1058;&#1054;\&#1056;&#1072;&#1073;&#1086;&#1095;&#1080;&#1081;%20&#1089;&#1090;&#1086;&#1083;\&#1055;&#1088;&#1086;&#1077;&#1082;&#1090;%20&#1090;&#1072;&#1088;&#1080;&#1092;&#1072;%20&#1085;&#1072;%202021%20&#1075;&#1086;&#1076;\&#1053;&#1086;&#1074;&#1099;&#1077;%20&#1082;&#1086;&#1090;&#1077;&#1083;&#1100;&#1085;&#1099;&#1077;\&#1051;&#1099;&#1078;&#1085;&#1072;&#1103;%20&#1073;&#1072;&#1079;&#1072;20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&#1048;&#1085;&#1078;&#1077;&#1085;&#1077;&#1088;.&#1055;&#1058;&#1054;\&#1056;&#1072;&#1073;&#1086;&#1095;&#1080;&#1081;%20&#1089;&#1090;&#1086;&#1083;\&#1055;&#1088;&#1086;&#1077;&#1082;&#1090;%20&#1090;&#1072;&#1088;&#1080;&#1092;&#1072;%20&#1085;&#1072;%202021%20&#1075;&#1086;&#1076;\&#1053;&#1086;&#1074;&#1099;&#1077;%20&#1082;&#1086;&#1090;&#1077;&#1083;&#1100;&#1085;&#1099;&#1077;\&#1055;&#1088;&#1080;&#1095;&#1091;&#1083;&#1099;&#1084;&#1089;&#1082;&#1072;&#1103;%20&#1096;&#1082;&#1086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Users\&#1054;&#1087;&#1077;&#1088;&#1072;&#1090;&#1086;&#1088;\Desktop\&#1058;&#1072;&#1088;&#1080;&#1092;%20&#1090;&#1077;&#1087;&#1083;&#1086;&#1074;&#1072;&#1103;%20&#1101;&#1085;&#1077;&#1088;&#1075;&#1080;&#1103;%202015\&#1058;&#1072;&#1088;&#1080;&#1092;%20&#1090;&#1077;&#1087;&#1083;&#1086;&#1074;&#1072;&#1103;%20&#1101;&#1085;&#1077;&#1088;&#1075;&#1080;&#1103;%202015\&#1054;&#1054;&#1054;%20&#1058;&#1069;&#1056;%20&#8470;1\&#1041;&#1052;&#1050;%20&#1041;&#1077;&#1083;&#1086;&#1095;&#1082;&#1072;!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FILES\&#1048;&#1085;&#1078;&#1077;&#1085;&#1077;&#1088;.&#1055;&#1058;&#1054;\&#1056;&#1072;&#1073;&#1086;&#1095;&#1080;&#1081;%20&#1089;&#1090;&#1086;&#1083;\&#1055;&#1088;&#1086;&#1077;&#1082;&#1090;%20&#1090;&#1072;&#1088;&#1080;&#1092;&#1072;%20&#1085;&#1072;%202021%20&#1075;&#1086;&#1076;\&#1052;&#1059;&#1055;%20&#1040;&#1043;&#1055;%20&#1058;&#1077;&#1087;&#1083;&#1086;%20&#1058;1\&#1041;&#1077;&#1083;&#1086;&#1095;&#1082;&#1072;!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VODOSN.2007.FAC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1\&#1087;&#1086;&#1095;&#1090;&#1072;%20&#1087;&#1090;&#1086;\&#1052;&#1086;&#1080;%20&#1076;&#1086;&#1082;&#1091;&#1084;&#1077;&#1085;&#1090;&#1099;\&#1060;&#1048;&#1048;-&#1040;&#1056;&#1061;&#1048;&#1042;\&#1056;&#1072;&#1089;&#1095;&#1077;&#1090;%20&#1090;&#1077;&#1084;&#1087;&#1077;&#1088;&#1072;&#1090;&#1091;&#1088;&#1085;&#1086;&#1075;&#1086;%20&#1075;&#1088;&#1072;&#1092;&#1080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2;&#1086;&#1080;%20&#1076;&#1086;&#1082;&#1091;&#1084;&#1077;&#1085;&#1090;&#1099;\&#1050;&#1072;&#1089;&#1100;&#1103;&#1085;&#1086;&#1074;&#1072;\&#1055;&#1080;&#1089;&#1100;&#1084;&#1072;\&#1052;&#1086;&#1085;&#1080;&#1090;&#1086;&#1088;&#1080;&#1085;&#1075;%202009%20&#1075;&#1086;&#1076;\&#1090;&#1072;&#1073;&#1083;&#1080;&#1094;&#1099;%20&#1076;&#1083;&#1103;%20&#1085;&#1072;&#1087;&#1088;&#1072;&#1074;&#1083;&#1077;&#1085;&#1080;&#1103;%20&#1084;&#1086;&#1085;&#1080;&#1090;&#1086;&#1088;&#1080;&#1085;&#1075;&#1072;%20&#1089;&#1077;&#1083;&#1100;&#1089;&#1082;&#1080;&#1084;%20&#1087;&#1086;&#1089;&#1077;&#1083;&#1077;&#1085;&#1080;&#1103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TBO.2007.FAC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herNN\Local%20Settings\Temporary%20Internet%20Files\Content.IE5\STYNK9EJ\&#1040;&#1085;&#1082;&#1077;&#1090;&#1072;%20&#1080;%20&#1055;&#1088;&#1080;&#1083;&#1086;&#1078;&#1077;&#1085;&#1080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Documents%20and%20Settings\&#1069;&#1082;&#1086;&#1085;&#1086;&#1084;&#1080;&#1089;&#1090;\&#1056;&#1072;&#1073;&#1086;&#1095;&#1080;&#1081;%20&#1089;&#1090;&#1086;&#1083;\&#1092;&#1072;&#1082;&#1090;%20&#1072;&#1074;&#1075;&#1091;&#1089;&#1090;%2020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 нагрузки"/>
      <sheetName val="Потери с утечками"/>
      <sheetName val="Потери с изоляции"/>
      <sheetName val="СН и выработка"/>
      <sheetName val="уд. расход топлива"/>
      <sheetName val="уд. расход топлива (2)"/>
      <sheetName val="Месячные нагрузки"/>
    </sheetNames>
    <sheetDataSet>
      <sheetData sheetId="3">
        <row r="98">
          <cell r="C98">
            <v>80</v>
          </cell>
        </row>
        <row r="100">
          <cell r="C100">
            <v>50</v>
          </cell>
        </row>
        <row r="101">
          <cell r="C101">
            <v>25</v>
          </cell>
        </row>
        <row r="104">
          <cell r="C104">
            <v>150</v>
          </cell>
        </row>
        <row r="105">
          <cell r="C105">
            <v>100</v>
          </cell>
        </row>
        <row r="106">
          <cell r="C106">
            <v>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узки АОР Керамик"/>
      <sheetName val="Лист2"/>
      <sheetName val="Лист3"/>
      <sheetName val="1.2.1"/>
      <sheetName val="2.2.4"/>
      <sheetName val="июнь9"/>
      <sheetName val="Анкета"/>
      <sheetName val="График"/>
      <sheetName val="sapactivexlhiddensheet"/>
      <sheetName val="АЧ"/>
      <sheetName val="Параметры"/>
      <sheetName val="Ачинский НПЗ"/>
      <sheetName val="дефляторы"/>
    </sheetNames>
    <sheetDataSet>
      <sheetData sheetId="0">
        <row r="6">
          <cell r="P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ДРУЖБА"/>
      <sheetName val="Т.2. Тепл.сети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темпер.график-гараж и АБК"/>
      <sheetName val="Расчет темпер.графика-Петренко"/>
      <sheetName val="Расчет темпер.графика -Федецкий"/>
      <sheetName val="Расчет темпер.графика -Феде (2)"/>
      <sheetName val="Расчет темпер.графика -Феде (3)"/>
      <sheetName val="Расчет темпер.графика -Феде (4)"/>
    </sheetNames>
    <sheetDataSet>
      <sheetData sheetId="2">
        <row r="2">
          <cell r="G2">
            <v>20</v>
          </cell>
        </row>
        <row r="3">
          <cell r="G3">
            <v>-40</v>
          </cell>
        </row>
        <row r="4">
          <cell r="G4">
            <v>95</v>
          </cell>
        </row>
        <row r="5">
          <cell r="G5">
            <v>70</v>
          </cell>
        </row>
        <row r="6">
          <cell r="G6">
            <v>0.473</v>
          </cell>
        </row>
        <row r="8">
          <cell r="G8">
            <v>0.7575757575757576</v>
          </cell>
        </row>
        <row r="10">
          <cell r="G10">
            <v>0.8695652173913044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прил.№1 к Т.2"/>
      <sheetName val="Т.2. Тепл.сети"/>
      <sheetName val="Прил.№1 к Т.2.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1">
        <row r="5">
          <cell r="K5">
            <v>239</v>
          </cell>
        </row>
        <row r="6">
          <cell r="K6">
            <v>350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ЧКА"/>
      <sheetName val="ВЭС"/>
      <sheetName val="ГАГАРИНА1"/>
      <sheetName val="ГАГАРИНА2"/>
      <sheetName val="ДРУЖБА"/>
      <sheetName val="МПМК"/>
      <sheetName val="НЕФТЕБАЗА"/>
      <sheetName val="П.МОРОЗОВА"/>
      <sheetName val="ПМК-16БАЗА"/>
      <sheetName val="ПУ-24"/>
      <sheetName val="Т.2. Тепл.сет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МПМК"/>
      <sheetName val="Т.2. Тепл.сети"/>
      <sheetName val="Прил.№1 к Т.2.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Прил.№1 к Т.2"/>
      <sheetName val="Т.2. Тепл.сети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1">
        <row r="5">
          <cell r="K5">
            <v>239</v>
          </cell>
        </row>
        <row r="6">
          <cell r="K6">
            <v>350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 нагрузки"/>
      <sheetName val="Реестр дог.Тепло"/>
      <sheetName val="Прил.№1 к Т.1"/>
      <sheetName val="Прил.№2 к Т.1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к Т.2"/>
      <sheetName val="Анкета"/>
      <sheetName val="Т.1.Тепл нагрузки"/>
      <sheetName val="Реестр дог.Тепло"/>
      <sheetName val="Прил.№1 к Т.1"/>
      <sheetName val="Прил.№2 к Т.1"/>
      <sheetName val="Т.2. Тепл.сети"/>
      <sheetName val="Сред.темп. в сетях"/>
      <sheetName val="Продол.отоп.сезона"/>
      <sheetName val="Темп. возд."/>
      <sheetName val="Клим.зоны"/>
      <sheetName val="Т.3. Собств.нужд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2">
        <row r="5">
          <cell r="K5">
            <v>239</v>
          </cell>
        </row>
        <row r="6">
          <cell r="K6">
            <v>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Схема сетей"/>
      <sheetName val="Т.2. Тепл.сети"/>
      <sheetName val="Прил.№1 к Т.2.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1">
        <row r="5">
          <cell r="K5">
            <v>239</v>
          </cell>
        </row>
        <row r="6">
          <cell r="K6">
            <v>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1.Тепл нагрузки"/>
      <sheetName val="Реестр дог.Тепло"/>
      <sheetName val="Прил.№1 к Т.1"/>
      <sheetName val="Прил.№2 к Т.1"/>
      <sheetName val="Схема сетей"/>
      <sheetName val="Т.2. Тепл. сети"/>
      <sheetName val="Прил.№1 к Т.2."/>
      <sheetName val="Сред.темп. в сетях"/>
      <sheetName val="Продол.отоп.сезона"/>
      <sheetName val="Темп. возд."/>
      <sheetName val="Клим.зоны"/>
      <sheetName val="Т.4. Вода ХВО"/>
      <sheetName val="7"/>
      <sheetName val="9"/>
      <sheetName val="10"/>
      <sheetName val="12"/>
      <sheetName val="15 и 22"/>
      <sheetName val="Смета ХОВ"/>
      <sheetName val="16"/>
      <sheetName val="17"/>
      <sheetName val="20"/>
      <sheetName val="20.1"/>
      <sheetName val="21"/>
      <sheetName val="Рис.Д1.Схема дома"/>
      <sheetName val="Рис. Д2.Коэф.инфильт."/>
    </sheetNames>
    <sheetDataSet>
      <sheetData sheetId="1">
        <row r="5">
          <cell r="L5">
            <v>239</v>
          </cell>
        </row>
        <row r="6">
          <cell r="L6">
            <v>350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нижение производительности"/>
      <sheetName val="Анкета"/>
      <sheetName val="списки"/>
      <sheetName val="91-2"/>
    </sheetNames>
    <sheetDataSet>
      <sheetData sheetId="9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темпер.график-гараж и АБК"/>
      <sheetName val="Расчет темпер.графика-Петренко"/>
      <sheetName val="Расчет темпер.графика -Федецкий"/>
      <sheetName val="Расчет темпер.графика -Феде (2)"/>
      <sheetName val="Расчет темпер.графика -Феде (3)"/>
      <sheetName val="Расчет темпер.графика -Феде (4)"/>
      <sheetName val="Расчет темпер_графика _Федецкий"/>
    </sheetNames>
    <sheetDataSet>
      <sheetData sheetId="2">
        <row r="2">
          <cell r="G2">
            <v>20</v>
          </cell>
        </row>
        <row r="3">
          <cell r="G3">
            <v>-40</v>
          </cell>
        </row>
        <row r="4">
          <cell r="G4">
            <v>95</v>
          </cell>
        </row>
        <row r="5">
          <cell r="G5">
            <v>70</v>
          </cell>
        </row>
        <row r="6">
          <cell r="G6">
            <v>0.473</v>
          </cell>
        </row>
        <row r="8">
          <cell r="G8">
            <v>0.7575757575757576</v>
          </cell>
        </row>
        <row r="10">
          <cell r="G10">
            <v>0.8695652173913044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рганизаций водоснабжен"/>
      <sheetName val="В.3 Осн пок вод"/>
      <sheetName val="В. 4 Смета Вода"/>
      <sheetName val="В.9 Прибыль"/>
      <sheetName val="Список организаций водоотведен"/>
      <sheetName val="С.1 Осн.пок.стоки"/>
      <sheetName val="С.2 Смета Стоки"/>
      <sheetName val="В.9 Прибыль (2)"/>
      <sheetName val="Список организаций ТБО"/>
      <sheetName val="С.1 Осн.пок.ТБО"/>
      <sheetName val="С.2 Смета ТБО "/>
      <sheetName val="В.9 Прибыль (3)"/>
      <sheetName val="Т.1.1 Запасы"/>
      <sheetName val="Т.1.Тепл нагруз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КО"/>
      <sheetName val="Расчет темпер.графика -Федецкий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рил 4.1 База Водн."/>
      <sheetName val="Прил 4.2. Водн налог"/>
      <sheetName val="Прил 6.2 Материалы тепло"/>
      <sheetName val="Прил 6.2 Материалы Вода"/>
      <sheetName val="Факт 2006 г."/>
      <sheetName val="Прил 7.3 Вспом. тепло"/>
      <sheetName val="Прил 7.3 Вспом. вода"/>
      <sheetName val="Прил 8.3 Числ.котельн."/>
      <sheetName val="Прил 8.3 ХОВ"/>
      <sheetName val="Прил 8.3 Вода"/>
    </sheetNames>
    <sheetDataSet>
      <sheetData sheetId="0">
        <row r="5">
          <cell r="A5" t="str">
            <v>ООО "Томсктрансгаз"  Томское ЛПУ МГ</v>
          </cell>
        </row>
        <row r="8">
          <cell r="B8" t="str">
            <v>г. Томск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SheetLayoutView="100" zoomScalePageLayoutView="0" workbookViewId="0" topLeftCell="A10">
      <selection activeCell="B7" sqref="B7:B9"/>
    </sheetView>
  </sheetViews>
  <sheetFormatPr defaultColWidth="9.00390625" defaultRowHeight="12.75"/>
  <cols>
    <col min="1" max="1" width="16.00390625" style="0" customWidth="1"/>
    <col min="2" max="2" width="15.875" style="0" customWidth="1"/>
    <col min="3" max="3" width="15.125" style="1" customWidth="1"/>
    <col min="4" max="4" width="11.625" style="0" customWidth="1"/>
    <col min="5" max="5" width="14.00390625" style="0" customWidth="1"/>
    <col min="6" max="6" width="15.125" style="0" customWidth="1"/>
    <col min="7" max="7" width="10.875" style="0" customWidth="1"/>
    <col min="8" max="8" width="10.625" style="0" customWidth="1"/>
    <col min="9" max="9" width="11.125" style="0" customWidth="1"/>
    <col min="10" max="10" width="14.50390625" style="0" customWidth="1"/>
    <col min="11" max="11" width="20.00390625" style="0" customWidth="1"/>
  </cols>
  <sheetData>
    <row r="1" spans="10:11" ht="15.75">
      <c r="J1" s="112" t="s">
        <v>0</v>
      </c>
      <c r="K1" s="112"/>
    </row>
    <row r="2" spans="1:11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Bot="1">
      <c r="A5" s="101" t="s">
        <v>3</v>
      </c>
      <c r="B5" s="102"/>
      <c r="C5" s="102"/>
      <c r="D5" s="102"/>
      <c r="E5" s="102"/>
      <c r="F5" s="102"/>
      <c r="G5" s="103" t="s">
        <v>4</v>
      </c>
      <c r="H5" s="103"/>
      <c r="I5" s="103"/>
      <c r="J5" s="103"/>
      <c r="K5" s="104"/>
    </row>
    <row r="6" ht="13.5" thickBot="1"/>
    <row r="7" spans="1:11" ht="39.75" customHeight="1">
      <c r="A7" s="105" t="s">
        <v>5</v>
      </c>
      <c r="B7" s="108" t="s">
        <v>6</v>
      </c>
      <c r="C7" s="90" t="s">
        <v>7</v>
      </c>
      <c r="D7" s="108" t="s">
        <v>8</v>
      </c>
      <c r="E7" s="90" t="s">
        <v>9</v>
      </c>
      <c r="F7" s="90" t="s">
        <v>10</v>
      </c>
      <c r="G7" s="108" t="s">
        <v>11</v>
      </c>
      <c r="H7" s="111"/>
      <c r="I7" s="90" t="s">
        <v>12</v>
      </c>
      <c r="J7" s="90" t="s">
        <v>13</v>
      </c>
      <c r="K7" s="93" t="s">
        <v>14</v>
      </c>
    </row>
    <row r="8" spans="1:11" ht="38.25" customHeight="1">
      <c r="A8" s="106"/>
      <c r="B8" s="109"/>
      <c r="C8" s="91"/>
      <c r="D8" s="109"/>
      <c r="E8" s="91"/>
      <c r="F8" s="91"/>
      <c r="G8" s="96" t="s">
        <v>15</v>
      </c>
      <c r="H8" s="96" t="s">
        <v>16</v>
      </c>
      <c r="I8" s="91"/>
      <c r="J8" s="91"/>
      <c r="K8" s="94"/>
    </row>
    <row r="9" spans="1:11" ht="13.5" thickBot="1">
      <c r="A9" s="107"/>
      <c r="B9" s="110"/>
      <c r="C9" s="92"/>
      <c r="D9" s="110"/>
      <c r="E9" s="92"/>
      <c r="F9" s="92"/>
      <c r="G9" s="92"/>
      <c r="H9" s="92"/>
      <c r="I9" s="92"/>
      <c r="J9" s="92"/>
      <c r="K9" s="95"/>
    </row>
    <row r="10" spans="1:11" ht="15.75" customHeight="1">
      <c r="A10" s="97" t="s">
        <v>17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s="6" customFormat="1" ht="15">
      <c r="A11" s="3">
        <v>10</v>
      </c>
      <c r="B11" s="4">
        <f>49+23.3+18.7</f>
        <v>91</v>
      </c>
      <c r="C11" s="4">
        <v>1</v>
      </c>
      <c r="D11" s="4">
        <f>'[1]Потери с изоляции'!C98</f>
        <v>80</v>
      </c>
      <c r="E11" s="4">
        <v>2</v>
      </c>
      <c r="F11" s="4" t="s">
        <v>18</v>
      </c>
      <c r="G11" s="4">
        <v>55.3</v>
      </c>
      <c r="H11" s="4">
        <v>45.3</v>
      </c>
      <c r="I11" s="5">
        <f>(PI()*((D11/1000)^2)/4)*B11*E11</f>
        <v>0.9148317807253478</v>
      </c>
      <c r="J11" s="4" t="s">
        <v>19</v>
      </c>
      <c r="K11" s="4">
        <v>1968</v>
      </c>
    </row>
    <row r="12" spans="1:11" s="6" customFormat="1" ht="15">
      <c r="A12" s="3">
        <v>8</v>
      </c>
      <c r="B12" s="4">
        <v>37.5</v>
      </c>
      <c r="C12" s="4">
        <v>0</v>
      </c>
      <c r="D12" s="4">
        <v>50</v>
      </c>
      <c r="E12" s="4">
        <v>2</v>
      </c>
      <c r="F12" s="4" t="s">
        <v>18</v>
      </c>
      <c r="G12" s="4">
        <v>55.3</v>
      </c>
      <c r="H12" s="4">
        <v>45.3</v>
      </c>
      <c r="I12" s="5">
        <f>(PI()*((D12/1000)^2)/4)*B12*E12</f>
        <v>0.14726215563702155</v>
      </c>
      <c r="J12" s="4" t="s">
        <v>19</v>
      </c>
      <c r="K12" s="4">
        <v>1992</v>
      </c>
    </row>
    <row r="13" spans="1:11" s="6" customFormat="1" ht="15">
      <c r="A13" s="3">
        <v>11</v>
      </c>
      <c r="B13" s="4">
        <v>32</v>
      </c>
      <c r="C13" s="4">
        <v>1</v>
      </c>
      <c r="D13" s="4">
        <f>'[1]Потери с изоляции'!C100</f>
        <v>50</v>
      </c>
      <c r="E13" s="4">
        <v>2</v>
      </c>
      <c r="F13" s="4" t="s">
        <v>18</v>
      </c>
      <c r="G13" s="4">
        <v>55.3</v>
      </c>
      <c r="H13" s="4">
        <v>45.3</v>
      </c>
      <c r="I13" s="5">
        <f>(PI()*((D13/1000)^2)/4)*B13*E13</f>
        <v>0.12566370614359174</v>
      </c>
      <c r="J13" s="4" t="s">
        <v>19</v>
      </c>
      <c r="K13" s="4">
        <v>1968</v>
      </c>
    </row>
    <row r="14" spans="1:11" s="6" customFormat="1" ht="15">
      <c r="A14" s="3">
        <v>12</v>
      </c>
      <c r="B14" s="4">
        <v>5</v>
      </c>
      <c r="C14" s="4">
        <v>0</v>
      </c>
      <c r="D14" s="4">
        <f>'[1]Потери с изоляции'!C101</f>
        <v>25</v>
      </c>
      <c r="E14" s="4">
        <v>2</v>
      </c>
      <c r="F14" s="4" t="s">
        <v>18</v>
      </c>
      <c r="G14" s="4">
        <v>55.3</v>
      </c>
      <c r="H14" s="4">
        <v>45.3</v>
      </c>
      <c r="I14" s="5">
        <f>(PI()*((D14/1000)^2)/4)*B14*E14</f>
        <v>0.004908738521234052</v>
      </c>
      <c r="J14" s="4" t="s">
        <v>19</v>
      </c>
      <c r="K14" s="4">
        <v>1968</v>
      </c>
    </row>
    <row r="15" spans="1:11" s="6" customFormat="1" ht="15.75">
      <c r="A15" s="85" t="s">
        <v>20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s="6" customFormat="1" ht="15.75">
      <c r="A16" s="7">
        <v>3</v>
      </c>
      <c r="B16" s="8">
        <v>19</v>
      </c>
      <c r="C16" s="8">
        <v>0</v>
      </c>
      <c r="D16" s="8">
        <v>100</v>
      </c>
      <c r="E16" s="9">
        <v>2</v>
      </c>
      <c r="F16" s="9" t="s">
        <v>21</v>
      </c>
      <c r="G16" s="9">
        <v>55.3</v>
      </c>
      <c r="H16" s="9">
        <v>45.3</v>
      </c>
      <c r="I16" s="5">
        <f aca="true" t="shared" si="0" ref="I16:I22">(PI()*((D16/1000)^2)/4)*B16*E16</f>
        <v>0.2984513020910304</v>
      </c>
      <c r="J16" s="9" t="s">
        <v>19</v>
      </c>
      <c r="K16" s="9">
        <v>2008</v>
      </c>
    </row>
    <row r="17" spans="1:11" s="6" customFormat="1" ht="15.75">
      <c r="A17" s="10">
        <v>4</v>
      </c>
      <c r="B17" s="11">
        <v>39.6</v>
      </c>
      <c r="C17" s="11">
        <v>0</v>
      </c>
      <c r="D17" s="11">
        <v>65</v>
      </c>
      <c r="E17" s="4">
        <v>2</v>
      </c>
      <c r="F17" s="4" t="s">
        <v>21</v>
      </c>
      <c r="G17" s="4">
        <v>55.3</v>
      </c>
      <c r="H17" s="4">
        <v>45.3</v>
      </c>
      <c r="I17" s="5">
        <f t="shared" si="0"/>
        <v>0.2628099334360542</v>
      </c>
      <c r="J17" s="4" t="s">
        <v>19</v>
      </c>
      <c r="K17" s="4">
        <v>2008</v>
      </c>
    </row>
    <row r="18" spans="1:11" s="6" customFormat="1" ht="15">
      <c r="A18" s="12">
        <v>7</v>
      </c>
      <c r="B18" s="4">
        <v>48.3</v>
      </c>
      <c r="C18" s="4">
        <v>0</v>
      </c>
      <c r="D18" s="4">
        <v>80</v>
      </c>
      <c r="E18" s="4">
        <v>2</v>
      </c>
      <c r="F18" s="4" t="s">
        <v>21</v>
      </c>
      <c r="G18" s="4">
        <v>55.3</v>
      </c>
      <c r="H18" s="4">
        <v>45.3</v>
      </c>
      <c r="I18" s="5">
        <f t="shared" si="0"/>
        <v>0.4855645605388384</v>
      </c>
      <c r="J18" s="4" t="s">
        <v>19</v>
      </c>
      <c r="K18" s="4">
        <v>2000</v>
      </c>
    </row>
    <row r="19" spans="1:11" s="6" customFormat="1" ht="15">
      <c r="A19" s="12">
        <v>13</v>
      </c>
      <c r="B19" s="4">
        <v>85.6</v>
      </c>
      <c r="C19" s="4">
        <v>0</v>
      </c>
      <c r="D19" s="4">
        <f>'[1]Потери с изоляции'!C104</f>
        <v>150</v>
      </c>
      <c r="E19" s="4">
        <v>2</v>
      </c>
      <c r="F19" s="4" t="s">
        <v>21</v>
      </c>
      <c r="G19" s="4">
        <v>55.3</v>
      </c>
      <c r="H19" s="4">
        <v>45.3</v>
      </c>
      <c r="I19" s="5">
        <f t="shared" si="0"/>
        <v>3.025353725406971</v>
      </c>
      <c r="J19" s="4" t="s">
        <v>19</v>
      </c>
      <c r="K19" s="4">
        <v>1968</v>
      </c>
    </row>
    <row r="20" spans="1:11" s="6" customFormat="1" ht="15">
      <c r="A20" s="12">
        <v>14</v>
      </c>
      <c r="B20" s="4">
        <f>96.9+10+7+10+3+4.8+35.5+80+32</f>
        <v>279.20000000000005</v>
      </c>
      <c r="C20" s="4">
        <v>0</v>
      </c>
      <c r="D20" s="4">
        <f>'[1]Потери с изоляции'!C105</f>
        <v>100</v>
      </c>
      <c r="E20" s="4">
        <v>2</v>
      </c>
      <c r="F20" s="4" t="s">
        <v>21</v>
      </c>
      <c r="G20" s="4">
        <v>55.3</v>
      </c>
      <c r="H20" s="4">
        <v>45.3</v>
      </c>
      <c r="I20" s="5">
        <f t="shared" si="0"/>
        <v>4.385663344411352</v>
      </c>
      <c r="J20" s="4" t="s">
        <v>19</v>
      </c>
      <c r="K20" s="4">
        <v>1968</v>
      </c>
    </row>
    <row r="21" spans="1:11" s="6" customFormat="1" ht="15">
      <c r="A21" s="12">
        <v>16</v>
      </c>
      <c r="B21" s="4">
        <f>166.9+30</f>
        <v>196.9</v>
      </c>
      <c r="C21" s="4">
        <v>0</v>
      </c>
      <c r="D21" s="4">
        <v>80</v>
      </c>
      <c r="E21" s="4">
        <v>2</v>
      </c>
      <c r="F21" s="4" t="s">
        <v>21</v>
      </c>
      <c r="G21" s="4">
        <v>55.3</v>
      </c>
      <c r="H21" s="4">
        <v>45.3</v>
      </c>
      <c r="I21" s="5">
        <f>(PI()*((D21/1000)^2)/4)*B21*E21</f>
        <v>1.9794546991738569</v>
      </c>
      <c r="J21" s="4" t="s">
        <v>19</v>
      </c>
      <c r="K21" s="4">
        <v>1968</v>
      </c>
    </row>
    <row r="22" spans="1:11" s="6" customFormat="1" ht="15">
      <c r="A22" s="12">
        <v>15</v>
      </c>
      <c r="B22" s="4">
        <v>63.2</v>
      </c>
      <c r="C22" s="4">
        <v>0</v>
      </c>
      <c r="D22" s="4">
        <f>'[1]Потери с изоляции'!C106</f>
        <v>50</v>
      </c>
      <c r="E22" s="4">
        <v>2</v>
      </c>
      <c r="F22" s="4" t="s">
        <v>21</v>
      </c>
      <c r="G22" s="4">
        <v>55.3</v>
      </c>
      <c r="H22" s="4">
        <v>45.3</v>
      </c>
      <c r="I22" s="5">
        <f t="shared" si="0"/>
        <v>0.24818581963359368</v>
      </c>
      <c r="J22" s="4" t="s">
        <v>19</v>
      </c>
      <c r="K22" s="4">
        <v>1968</v>
      </c>
    </row>
    <row r="23" spans="1:11" s="6" customFormat="1" ht="15.75" thickBot="1">
      <c r="A23" s="13">
        <v>5</v>
      </c>
      <c r="B23" s="14">
        <v>3</v>
      </c>
      <c r="C23" s="14">
        <v>0</v>
      </c>
      <c r="D23" s="14">
        <v>40</v>
      </c>
      <c r="E23" s="14">
        <v>2</v>
      </c>
      <c r="F23" s="4" t="s">
        <v>21</v>
      </c>
      <c r="G23" s="4">
        <v>55.3</v>
      </c>
      <c r="H23" s="4">
        <v>45.3</v>
      </c>
      <c r="I23" s="15">
        <f>(PI()*((D23/1000)^2)/4)*B23*E23</f>
        <v>0.007539822368615503</v>
      </c>
      <c r="J23" s="4" t="s">
        <v>19</v>
      </c>
      <c r="K23" s="16">
        <v>2010</v>
      </c>
    </row>
    <row r="24" spans="1:11" s="21" customFormat="1" ht="15" thickBot="1">
      <c r="A24" s="17" t="s">
        <v>22</v>
      </c>
      <c r="B24" s="18">
        <f>SUM(B11:B23)</f>
        <v>900.3000000000001</v>
      </c>
      <c r="C24" s="18">
        <f>SUM(C11:C23)</f>
        <v>2</v>
      </c>
      <c r="D24" s="18"/>
      <c r="E24" s="18"/>
      <c r="F24" s="18"/>
      <c r="G24" s="18"/>
      <c r="H24" s="18"/>
      <c r="I24" s="19">
        <f>SUM(I11:I23)</f>
        <v>11.885689588087507</v>
      </c>
      <c r="J24" s="18"/>
      <c r="K24" s="20"/>
    </row>
    <row r="25" spans="1:11" ht="15.75" customHeight="1">
      <c r="A25" s="85" t="s">
        <v>23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 s="6" customFormat="1" ht="15">
      <c r="A26" s="3"/>
      <c r="B26" s="4"/>
      <c r="C26" s="4"/>
      <c r="D26" s="4"/>
      <c r="E26" s="4"/>
      <c r="F26" s="4"/>
      <c r="G26" s="4"/>
      <c r="H26" s="4"/>
      <c r="I26" s="5"/>
      <c r="J26" s="4"/>
      <c r="K26" s="22"/>
    </row>
    <row r="27" spans="1:11" s="6" customFormat="1" ht="15.75">
      <c r="A27" s="85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7"/>
    </row>
    <row r="28" spans="1:11" s="6" customFormat="1" ht="14.25" customHeight="1" thickBot="1">
      <c r="A28" s="3"/>
      <c r="B28" s="4"/>
      <c r="C28" s="4"/>
      <c r="D28" s="4"/>
      <c r="E28" s="4"/>
      <c r="F28" s="4"/>
      <c r="G28" s="4"/>
      <c r="H28" s="4"/>
      <c r="I28" s="4"/>
      <c r="J28" s="4"/>
      <c r="K28" s="22"/>
    </row>
    <row r="29" spans="1:11" s="27" customFormat="1" ht="15" thickBot="1">
      <c r="A29" s="23" t="s">
        <v>22</v>
      </c>
      <c r="B29" s="24">
        <f>SUM(B26:B28)</f>
        <v>0</v>
      </c>
      <c r="C29" s="24"/>
      <c r="D29" s="24"/>
      <c r="E29" s="24"/>
      <c r="F29" s="24"/>
      <c r="G29" s="24"/>
      <c r="H29" s="24"/>
      <c r="I29" s="25">
        <f>SUM(I26:I28)</f>
        <v>0</v>
      </c>
      <c r="J29" s="24"/>
      <c r="K29" s="26"/>
    </row>
    <row r="30" spans="1:11" ht="12.75">
      <c r="A30" s="28"/>
      <c r="B30" s="28"/>
      <c r="C30" s="29"/>
      <c r="D30" s="28"/>
      <c r="E30" s="28"/>
      <c r="F30" s="28"/>
      <c r="G30" s="28"/>
      <c r="H30" s="28"/>
      <c r="I30" s="28"/>
      <c r="J30" s="28"/>
      <c r="K30" s="28"/>
    </row>
    <row r="31" spans="1:11" s="30" customFormat="1" ht="19.5" customHeight="1">
      <c r="A31" s="88" t="s">
        <v>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59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23" s="30" customFormat="1" ht="26.25" customHeight="1">
      <c r="A33" s="89" t="s">
        <v>26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="30" customFormat="1" ht="15.75">
      <c r="C34" s="33"/>
    </row>
    <row r="35" spans="1:11" s="30" customFormat="1" ht="15.75">
      <c r="A35" s="89" t="s">
        <v>27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24">
    <mergeCell ref="J1:K1"/>
    <mergeCell ref="A2:K2"/>
    <mergeCell ref="A3:K3"/>
    <mergeCell ref="A5:F5"/>
    <mergeCell ref="G5:K5"/>
    <mergeCell ref="A7:A9"/>
    <mergeCell ref="B7:B9"/>
    <mergeCell ref="C7:C9"/>
    <mergeCell ref="D7:D9"/>
    <mergeCell ref="E7:E9"/>
    <mergeCell ref="F7:F9"/>
    <mergeCell ref="G7:H7"/>
    <mergeCell ref="I7:I9"/>
    <mergeCell ref="J7:J9"/>
    <mergeCell ref="K7:K9"/>
    <mergeCell ref="G8:G9"/>
    <mergeCell ref="H8:H9"/>
    <mergeCell ref="A10:K10"/>
    <mergeCell ref="A15:K15"/>
    <mergeCell ref="A25:K25"/>
    <mergeCell ref="A27:K27"/>
    <mergeCell ref="A31:K32"/>
    <mergeCell ref="A33:K33"/>
    <mergeCell ref="A35:K35"/>
  </mergeCells>
  <printOptions horizontalCentered="1"/>
  <pageMargins left="0.5905511811023623" right="0.35433070866141736" top="0.3937007874015748" bottom="0.4330708661417323" header="0.1968503937007874" footer="0.2755905511811024"/>
  <pageSetup horizontalDpi="600" verticalDpi="600" orientation="landscape" paperSize="9" scale="76" r:id="rId5"/>
  <headerFooter alignWithMargins="0">
    <oddFooter>&amp;CСтраница &amp;P из &amp;N</oddFooter>
  </headerFooter>
  <legacyDrawing r:id="rId4"/>
  <oleObjects>
    <oleObject progId="Equation.3" shapeId="1759593" r:id="rId2"/>
    <oleObject progId="Equation.3" shapeId="175959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3"/>
  <sheetViews>
    <sheetView view="pageBreakPreview" zoomScale="85" zoomScaleNormal="75" zoomScaleSheetLayoutView="85" zoomScalePageLayoutView="0" workbookViewId="0" topLeftCell="A115">
      <selection activeCell="P12" sqref="P12"/>
    </sheetView>
  </sheetViews>
  <sheetFormatPr defaultColWidth="9.00390625" defaultRowHeight="12.75"/>
  <cols>
    <col min="1" max="1" width="16.00390625" style="0" customWidth="1"/>
    <col min="2" max="2" width="15.875" style="0" customWidth="1"/>
    <col min="3" max="3" width="15.125" style="1" customWidth="1"/>
    <col min="4" max="4" width="11.625" style="0" customWidth="1"/>
    <col min="5" max="5" width="14.00390625" style="0" customWidth="1"/>
    <col min="6" max="6" width="16.625" style="0" customWidth="1"/>
    <col min="7" max="7" width="10.875" style="0" customWidth="1"/>
    <col min="8" max="8" width="10.625" style="0" customWidth="1"/>
    <col min="9" max="9" width="11.125" style="0" hidden="1" customWidth="1"/>
    <col min="10" max="10" width="14.50390625" style="1" customWidth="1"/>
    <col min="11" max="11" width="20.00390625" style="1" customWidth="1"/>
  </cols>
  <sheetData>
    <row r="1" spans="10:11" ht="15.75">
      <c r="J1" s="100" t="s">
        <v>0</v>
      </c>
      <c r="K1" s="100"/>
    </row>
    <row r="2" spans="1:11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0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Bot="1">
      <c r="A5" s="101" t="s">
        <v>3</v>
      </c>
      <c r="B5" s="102"/>
      <c r="C5" s="102"/>
      <c r="D5" s="102"/>
      <c r="E5" s="102"/>
      <c r="F5" s="102"/>
      <c r="G5" s="103" t="s">
        <v>4</v>
      </c>
      <c r="H5" s="103"/>
      <c r="I5" s="103"/>
      <c r="J5" s="103"/>
      <c r="K5" s="104"/>
    </row>
    <row r="6" spans="1:11" ht="13.5" thickBot="1">
      <c r="A6" s="34"/>
      <c r="B6" s="31"/>
      <c r="C6" s="35"/>
      <c r="D6" s="31"/>
      <c r="E6" s="31"/>
      <c r="F6" s="31"/>
      <c r="G6" s="31"/>
      <c r="H6" s="31"/>
      <c r="I6" s="31"/>
      <c r="J6" s="35"/>
      <c r="K6" s="36"/>
    </row>
    <row r="7" spans="1:11" ht="51" customHeight="1">
      <c r="A7" s="105" t="s">
        <v>5</v>
      </c>
      <c r="B7" s="108" t="s">
        <v>6</v>
      </c>
      <c r="C7" s="90" t="s">
        <v>7</v>
      </c>
      <c r="D7" s="108" t="s">
        <v>8</v>
      </c>
      <c r="E7" s="90" t="s">
        <v>9</v>
      </c>
      <c r="F7" s="90" t="s">
        <v>10</v>
      </c>
      <c r="G7" s="108" t="s">
        <v>11</v>
      </c>
      <c r="H7" s="111"/>
      <c r="I7" s="90" t="s">
        <v>12</v>
      </c>
      <c r="J7" s="90" t="s">
        <v>13</v>
      </c>
      <c r="K7" s="93" t="s">
        <v>14</v>
      </c>
    </row>
    <row r="8" spans="1:11" ht="38.25" customHeight="1">
      <c r="A8" s="106"/>
      <c r="B8" s="109"/>
      <c r="C8" s="91"/>
      <c r="D8" s="109"/>
      <c r="E8" s="91"/>
      <c r="F8" s="91"/>
      <c r="G8" s="96" t="s">
        <v>15</v>
      </c>
      <c r="H8" s="96" t="s">
        <v>16</v>
      </c>
      <c r="I8" s="91"/>
      <c r="J8" s="91"/>
      <c r="K8" s="94"/>
    </row>
    <row r="9" spans="1:11" ht="13.5" thickBot="1">
      <c r="A9" s="107"/>
      <c r="B9" s="110"/>
      <c r="C9" s="92"/>
      <c r="D9" s="110"/>
      <c r="E9" s="92"/>
      <c r="F9" s="92"/>
      <c r="G9" s="92"/>
      <c r="H9" s="92"/>
      <c r="I9" s="92"/>
      <c r="J9" s="92"/>
      <c r="K9" s="95"/>
    </row>
    <row r="10" spans="1:11" ht="15.75" customHeight="1">
      <c r="A10" s="97" t="s">
        <v>17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s="6" customFormat="1" ht="15">
      <c r="A11" s="37">
        <v>36</v>
      </c>
      <c r="B11" s="9">
        <f>67.9+10.3</f>
        <v>78.2</v>
      </c>
      <c r="C11" s="9">
        <v>3</v>
      </c>
      <c r="D11" s="9">
        <v>300</v>
      </c>
      <c r="E11" s="9">
        <v>2</v>
      </c>
      <c r="F11" s="9" t="s">
        <v>18</v>
      </c>
      <c r="G11" s="9">
        <v>55.3</v>
      </c>
      <c r="H11" s="9">
        <v>45.3</v>
      </c>
      <c r="I11" s="5">
        <f aca="true" t="shared" si="0" ref="I11:I39">(PI()*((D11/1000)^2)/4)*B11*E11</f>
        <v>11.055264547982484</v>
      </c>
      <c r="J11" s="9" t="s">
        <v>29</v>
      </c>
      <c r="K11" s="38" t="s">
        <v>30</v>
      </c>
    </row>
    <row r="12" spans="1:11" s="6" customFormat="1" ht="15">
      <c r="A12" s="37">
        <v>63</v>
      </c>
      <c r="B12" s="9">
        <v>32</v>
      </c>
      <c r="C12" s="9">
        <v>0</v>
      </c>
      <c r="D12" s="9">
        <v>250</v>
      </c>
      <c r="E12" s="9">
        <v>2</v>
      </c>
      <c r="F12" s="9" t="s">
        <v>18</v>
      </c>
      <c r="G12" s="9">
        <v>55.3</v>
      </c>
      <c r="H12" s="9">
        <v>45.3</v>
      </c>
      <c r="I12" s="5">
        <f t="shared" si="0"/>
        <v>3.141592653589793</v>
      </c>
      <c r="J12" s="9" t="s">
        <v>31</v>
      </c>
      <c r="K12" s="38">
        <v>2018</v>
      </c>
    </row>
    <row r="13" spans="1:11" s="6" customFormat="1" ht="15">
      <c r="A13" s="37">
        <v>37</v>
      </c>
      <c r="B13" s="9">
        <f>66.2+4.5+50</f>
        <v>120.7</v>
      </c>
      <c r="C13" s="9">
        <v>3</v>
      </c>
      <c r="D13" s="9">
        <v>200</v>
      </c>
      <c r="E13" s="9">
        <v>2</v>
      </c>
      <c r="F13" s="9" t="s">
        <v>18</v>
      </c>
      <c r="G13" s="9">
        <v>55.3</v>
      </c>
      <c r="H13" s="9">
        <v>45.3</v>
      </c>
      <c r="I13" s="5">
        <f t="shared" si="0"/>
        <v>7.583804665765761</v>
      </c>
      <c r="J13" s="9" t="s">
        <v>29</v>
      </c>
      <c r="K13" s="38" t="s">
        <v>30</v>
      </c>
    </row>
    <row r="14" spans="1:11" s="6" customFormat="1" ht="15">
      <c r="A14" s="37">
        <v>1</v>
      </c>
      <c r="B14" s="9">
        <v>56.7</v>
      </c>
      <c r="C14" s="9">
        <v>1</v>
      </c>
      <c r="D14" s="9">
        <v>200</v>
      </c>
      <c r="E14" s="9">
        <v>2</v>
      </c>
      <c r="F14" s="9" t="s">
        <v>18</v>
      </c>
      <c r="G14" s="9">
        <v>55.3</v>
      </c>
      <c r="H14" s="9">
        <v>45.3</v>
      </c>
      <c r="I14" s="5">
        <f t="shared" si="0"/>
        <v>3.562566069170826</v>
      </c>
      <c r="J14" s="9" t="s">
        <v>29</v>
      </c>
      <c r="K14" s="38">
        <v>2007</v>
      </c>
    </row>
    <row r="15" spans="1:11" s="6" customFormat="1" ht="15">
      <c r="A15" s="37">
        <v>5</v>
      </c>
      <c r="B15" s="9">
        <v>221.7</v>
      </c>
      <c r="C15" s="9">
        <v>2</v>
      </c>
      <c r="D15" s="9">
        <v>200</v>
      </c>
      <c r="E15" s="9">
        <v>2</v>
      </c>
      <c r="F15" s="9" t="s">
        <v>32</v>
      </c>
      <c r="G15" s="9">
        <v>55.3</v>
      </c>
      <c r="H15" s="9">
        <v>45.3</v>
      </c>
      <c r="I15" s="5">
        <f t="shared" si="0"/>
        <v>13.929821826017143</v>
      </c>
      <c r="J15" s="9" t="s">
        <v>33</v>
      </c>
      <c r="K15" s="38">
        <v>2011</v>
      </c>
    </row>
    <row r="16" spans="1:11" s="6" customFormat="1" ht="15">
      <c r="A16" s="37">
        <v>38</v>
      </c>
      <c r="B16" s="9">
        <f>76.7+66.5+12+4</f>
        <v>159.2</v>
      </c>
      <c r="C16" s="9">
        <v>3</v>
      </c>
      <c r="D16" s="9">
        <v>150</v>
      </c>
      <c r="E16" s="9">
        <v>2</v>
      </c>
      <c r="F16" s="9" t="s">
        <v>18</v>
      </c>
      <c r="G16" s="9">
        <v>55.3</v>
      </c>
      <c r="H16" s="9">
        <v>45.3</v>
      </c>
      <c r="I16" s="5">
        <f t="shared" si="0"/>
        <v>5.6265924425793195</v>
      </c>
      <c r="J16" s="9" t="s">
        <v>29</v>
      </c>
      <c r="K16" s="38" t="s">
        <v>30</v>
      </c>
    </row>
    <row r="17" spans="1:11" s="6" customFormat="1" ht="15">
      <c r="A17" s="37">
        <v>65</v>
      </c>
      <c r="B17" s="9">
        <v>21.9</v>
      </c>
      <c r="C17" s="9"/>
      <c r="D17" s="9">
        <v>150</v>
      </c>
      <c r="E17" s="9">
        <v>2</v>
      </c>
      <c r="F17" s="9" t="s">
        <v>18</v>
      </c>
      <c r="G17" s="9">
        <v>55.3</v>
      </c>
      <c r="H17" s="9">
        <v>45.3</v>
      </c>
      <c r="I17" s="5">
        <f t="shared" si="0"/>
        <v>0.7740098900281852</v>
      </c>
      <c r="J17" s="9" t="s">
        <v>29</v>
      </c>
      <c r="K17" s="38">
        <v>2006</v>
      </c>
    </row>
    <row r="18" spans="1:11" s="6" customFormat="1" ht="15">
      <c r="A18" s="37">
        <v>2</v>
      </c>
      <c r="B18" s="9">
        <v>62.1</v>
      </c>
      <c r="C18" s="9">
        <v>1</v>
      </c>
      <c r="D18" s="9">
        <v>150</v>
      </c>
      <c r="E18" s="9">
        <v>2</v>
      </c>
      <c r="F18" s="9" t="s">
        <v>18</v>
      </c>
      <c r="G18" s="9">
        <v>55.3</v>
      </c>
      <c r="H18" s="9">
        <v>45.3</v>
      </c>
      <c r="I18" s="5">
        <f t="shared" si="0"/>
        <v>2.1947951676141693</v>
      </c>
      <c r="J18" s="9" t="s">
        <v>29</v>
      </c>
      <c r="K18" s="38">
        <v>2007</v>
      </c>
    </row>
    <row r="19" spans="1:11" s="6" customFormat="1" ht="15">
      <c r="A19" s="37">
        <v>3</v>
      </c>
      <c r="B19" s="9">
        <v>119.1</v>
      </c>
      <c r="C19" s="9">
        <v>4</v>
      </c>
      <c r="D19" s="9">
        <v>125</v>
      </c>
      <c r="E19" s="9">
        <v>2</v>
      </c>
      <c r="F19" s="9" t="s">
        <v>18</v>
      </c>
      <c r="G19" s="9">
        <v>55.3</v>
      </c>
      <c r="H19" s="9">
        <v>45.3</v>
      </c>
      <c r="I19" s="5">
        <f t="shared" si="0"/>
        <v>2.9231537893948776</v>
      </c>
      <c r="J19" s="9" t="s">
        <v>29</v>
      </c>
      <c r="K19" s="38">
        <v>2007</v>
      </c>
    </row>
    <row r="20" spans="1:11" s="6" customFormat="1" ht="15">
      <c r="A20" s="37">
        <v>49</v>
      </c>
      <c r="B20" s="9">
        <v>68.8</v>
      </c>
      <c r="C20" s="9">
        <v>2</v>
      </c>
      <c r="D20" s="9">
        <v>125</v>
      </c>
      <c r="E20" s="9">
        <v>2</v>
      </c>
      <c r="F20" s="9" t="s">
        <v>32</v>
      </c>
      <c r="G20" s="9">
        <v>55.3</v>
      </c>
      <c r="H20" s="9">
        <v>45.3</v>
      </c>
      <c r="I20" s="5">
        <f t="shared" si="0"/>
        <v>1.6886060513045138</v>
      </c>
      <c r="J20" s="9" t="s">
        <v>33</v>
      </c>
      <c r="K20" s="38">
        <v>2013</v>
      </c>
    </row>
    <row r="21" spans="1:11" s="6" customFormat="1" ht="15">
      <c r="A21" s="37">
        <v>39</v>
      </c>
      <c r="B21" s="9">
        <f>11.7+10.2+10.2+29.7+14+25.2+23.9+37.5+11+49.5+167+9.3+125.7+13.5+10.5+6.6</f>
        <v>555.5</v>
      </c>
      <c r="C21" s="9">
        <v>3</v>
      </c>
      <c r="D21" s="9">
        <v>100</v>
      </c>
      <c r="E21" s="9">
        <v>2</v>
      </c>
      <c r="F21" s="9" t="s">
        <v>18</v>
      </c>
      <c r="G21" s="9">
        <v>55.3</v>
      </c>
      <c r="H21" s="9">
        <v>45.3</v>
      </c>
      <c r="I21" s="5">
        <f t="shared" si="0"/>
        <v>8.72577359534565</v>
      </c>
      <c r="J21" s="9" t="s">
        <v>29</v>
      </c>
      <c r="K21" s="38" t="s">
        <v>30</v>
      </c>
    </row>
    <row r="22" spans="1:11" s="6" customFormat="1" ht="15">
      <c r="A22" s="37">
        <v>28</v>
      </c>
      <c r="B22" s="9">
        <f>86.1+64.2</f>
        <v>150.3</v>
      </c>
      <c r="C22" s="9">
        <v>1</v>
      </c>
      <c r="D22" s="9">
        <v>100</v>
      </c>
      <c r="E22" s="9">
        <v>2</v>
      </c>
      <c r="F22" s="9" t="s">
        <v>18</v>
      </c>
      <c r="G22" s="9">
        <v>55.3</v>
      </c>
      <c r="H22" s="9">
        <v>45.3</v>
      </c>
      <c r="I22" s="5">
        <f t="shared" si="0"/>
        <v>2.36090687917273</v>
      </c>
      <c r="J22" s="9" t="s">
        <v>29</v>
      </c>
      <c r="K22" s="38" t="s">
        <v>34</v>
      </c>
    </row>
    <row r="23" spans="1:11" s="6" customFormat="1" ht="15">
      <c r="A23" s="37">
        <v>4</v>
      </c>
      <c r="B23" s="9">
        <v>140.1</v>
      </c>
      <c r="C23" s="9">
        <v>1</v>
      </c>
      <c r="D23" s="9">
        <v>100</v>
      </c>
      <c r="E23" s="9">
        <v>2</v>
      </c>
      <c r="F23" s="9" t="s">
        <v>18</v>
      </c>
      <c r="G23" s="9">
        <v>55.3</v>
      </c>
      <c r="H23" s="9">
        <v>45.3</v>
      </c>
      <c r="I23" s="5">
        <f t="shared" si="0"/>
        <v>2.20068565383965</v>
      </c>
      <c r="J23" s="9" t="s">
        <v>29</v>
      </c>
      <c r="K23" s="38">
        <v>2007</v>
      </c>
    </row>
    <row r="24" spans="1:11" s="6" customFormat="1" ht="15">
      <c r="A24" s="37">
        <v>6</v>
      </c>
      <c r="B24" s="9">
        <v>62</v>
      </c>
      <c r="C24" s="9">
        <v>1</v>
      </c>
      <c r="D24" s="9">
        <v>100</v>
      </c>
      <c r="E24" s="9">
        <v>2</v>
      </c>
      <c r="F24" s="9" t="s">
        <v>18</v>
      </c>
      <c r="G24" s="9">
        <v>55.3</v>
      </c>
      <c r="H24" s="9">
        <v>45.3</v>
      </c>
      <c r="I24" s="5">
        <f t="shared" si="0"/>
        <v>0.9738937226128359</v>
      </c>
      <c r="J24" s="9" t="s">
        <v>33</v>
      </c>
      <c r="K24" s="38">
        <v>2011</v>
      </c>
    </row>
    <row r="25" spans="1:11" s="6" customFormat="1" ht="15">
      <c r="A25" s="37">
        <v>50</v>
      </c>
      <c r="B25" s="9">
        <f>491.7+67.3</f>
        <v>559</v>
      </c>
      <c r="C25" s="9">
        <v>1</v>
      </c>
      <c r="D25" s="9">
        <v>100</v>
      </c>
      <c r="E25" s="9">
        <v>2</v>
      </c>
      <c r="F25" s="9" t="s">
        <v>32</v>
      </c>
      <c r="G25" s="9">
        <v>55.3</v>
      </c>
      <c r="H25" s="9">
        <v>45.3</v>
      </c>
      <c r="I25" s="5">
        <f t="shared" si="0"/>
        <v>8.780751466783473</v>
      </c>
      <c r="J25" s="9" t="s">
        <v>33</v>
      </c>
      <c r="K25" s="38">
        <v>2013</v>
      </c>
    </row>
    <row r="26" spans="1:11" s="6" customFormat="1" ht="15">
      <c r="A26" s="37">
        <v>40</v>
      </c>
      <c r="B26" s="9">
        <f>15.1+39.1+19.8+15.6</f>
        <v>89.6</v>
      </c>
      <c r="C26" s="9">
        <v>0</v>
      </c>
      <c r="D26" s="9">
        <v>80</v>
      </c>
      <c r="E26" s="9">
        <v>2</v>
      </c>
      <c r="F26" s="9" t="s">
        <v>18</v>
      </c>
      <c r="G26" s="9">
        <v>55.3</v>
      </c>
      <c r="H26" s="9">
        <v>45.3</v>
      </c>
      <c r="I26" s="5">
        <f t="shared" si="0"/>
        <v>0.9007574456372655</v>
      </c>
      <c r="J26" s="9" t="s">
        <v>29</v>
      </c>
      <c r="K26" s="38" t="s">
        <v>30</v>
      </c>
    </row>
    <row r="27" spans="1:11" s="6" customFormat="1" ht="15">
      <c r="A27" s="37">
        <v>7</v>
      </c>
      <c r="B27" s="9">
        <v>22.5</v>
      </c>
      <c r="C27" s="9">
        <v>0</v>
      </c>
      <c r="D27" s="9">
        <v>80</v>
      </c>
      <c r="E27" s="9">
        <v>2</v>
      </c>
      <c r="F27" s="9" t="s">
        <v>18</v>
      </c>
      <c r="G27" s="9">
        <v>55.3</v>
      </c>
      <c r="H27" s="9">
        <v>45.3</v>
      </c>
      <c r="I27" s="5">
        <f t="shared" si="0"/>
        <v>0.2261946710584651</v>
      </c>
      <c r="J27" s="9" t="s">
        <v>33</v>
      </c>
      <c r="K27" s="38">
        <v>2011</v>
      </c>
    </row>
    <row r="28" spans="1:11" s="6" customFormat="1" ht="15">
      <c r="A28" s="37">
        <v>52</v>
      </c>
      <c r="B28" s="9">
        <f>2+61.3</f>
        <v>63.3</v>
      </c>
      <c r="C28" s="9">
        <v>1</v>
      </c>
      <c r="D28" s="9">
        <v>80</v>
      </c>
      <c r="E28" s="9">
        <v>2</v>
      </c>
      <c r="F28" s="9" t="s">
        <v>32</v>
      </c>
      <c r="G28" s="9">
        <v>55.3</v>
      </c>
      <c r="H28" s="9">
        <v>45.3</v>
      </c>
      <c r="I28" s="5">
        <f t="shared" si="0"/>
        <v>0.6363610079111485</v>
      </c>
      <c r="J28" s="9" t="s">
        <v>33</v>
      </c>
      <c r="K28" s="38">
        <v>2013</v>
      </c>
    </row>
    <row r="29" spans="1:11" s="6" customFormat="1" ht="15">
      <c r="A29" s="37">
        <v>61</v>
      </c>
      <c r="B29" s="9">
        <v>19.5</v>
      </c>
      <c r="C29" s="9">
        <v>0</v>
      </c>
      <c r="D29" s="9">
        <v>80</v>
      </c>
      <c r="E29" s="9">
        <v>2</v>
      </c>
      <c r="F29" s="9" t="s">
        <v>18</v>
      </c>
      <c r="G29" s="9">
        <v>55.3</v>
      </c>
      <c r="H29" s="9">
        <v>45.3</v>
      </c>
      <c r="I29" s="5">
        <f t="shared" si="0"/>
        <v>0.19603538158400308</v>
      </c>
      <c r="J29" s="9" t="s">
        <v>31</v>
      </c>
      <c r="K29" s="38">
        <v>2017</v>
      </c>
    </row>
    <row r="30" spans="1:11" s="6" customFormat="1" ht="15">
      <c r="A30" s="37">
        <v>41</v>
      </c>
      <c r="B30" s="9">
        <f>37.3+26.4</f>
        <v>63.699999999999996</v>
      </c>
      <c r="C30" s="9">
        <v>1</v>
      </c>
      <c r="D30" s="9">
        <v>65</v>
      </c>
      <c r="E30" s="9">
        <v>2</v>
      </c>
      <c r="F30" s="9" t="s">
        <v>18</v>
      </c>
      <c r="G30" s="9">
        <v>55.3</v>
      </c>
      <c r="H30" s="9">
        <v>45.3</v>
      </c>
      <c r="I30" s="5">
        <f t="shared" si="0"/>
        <v>0.4227523424211275</v>
      </c>
      <c r="J30" s="9" t="s">
        <v>29</v>
      </c>
      <c r="K30" s="38" t="s">
        <v>30</v>
      </c>
    </row>
    <row r="31" spans="1:11" s="6" customFormat="1" ht="15">
      <c r="A31" s="37">
        <v>8</v>
      </c>
      <c r="B31" s="9">
        <v>33.9</v>
      </c>
      <c r="C31" s="9">
        <v>1</v>
      </c>
      <c r="D31" s="9">
        <v>65</v>
      </c>
      <c r="E31" s="9">
        <v>2</v>
      </c>
      <c r="F31" s="9" t="s">
        <v>18</v>
      </c>
      <c r="G31" s="9">
        <v>55.3</v>
      </c>
      <c r="H31" s="9">
        <v>45.3</v>
      </c>
      <c r="I31" s="5">
        <f t="shared" si="0"/>
        <v>0.22498123089601607</v>
      </c>
      <c r="J31" s="9" t="s">
        <v>33</v>
      </c>
      <c r="K31" s="38">
        <v>2011</v>
      </c>
    </row>
    <row r="32" spans="1:11" s="6" customFormat="1" ht="15">
      <c r="A32" s="37">
        <v>10</v>
      </c>
      <c r="B32" s="9">
        <v>23.5</v>
      </c>
      <c r="C32" s="9">
        <v>2</v>
      </c>
      <c r="D32" s="9">
        <v>65</v>
      </c>
      <c r="E32" s="9">
        <v>2</v>
      </c>
      <c r="F32" s="9" t="s">
        <v>18</v>
      </c>
      <c r="G32" s="9">
        <v>55.3</v>
      </c>
      <c r="H32" s="9">
        <v>45.3</v>
      </c>
      <c r="I32" s="5">
        <f t="shared" si="0"/>
        <v>0.15596044029664832</v>
      </c>
      <c r="J32" s="9" t="s">
        <v>29</v>
      </c>
      <c r="K32" s="38">
        <v>2010</v>
      </c>
    </row>
    <row r="33" spans="1:11" s="6" customFormat="1" ht="15">
      <c r="A33" s="37">
        <v>53</v>
      </c>
      <c r="B33" s="9">
        <v>48</v>
      </c>
      <c r="C33" s="9">
        <v>0</v>
      </c>
      <c r="D33" s="9">
        <v>65</v>
      </c>
      <c r="E33" s="9">
        <v>2</v>
      </c>
      <c r="F33" s="9" t="s">
        <v>32</v>
      </c>
      <c r="G33" s="9">
        <v>55.3</v>
      </c>
      <c r="H33" s="9">
        <v>45.3</v>
      </c>
      <c r="I33" s="5">
        <f t="shared" si="0"/>
        <v>0.3185574950740051</v>
      </c>
      <c r="J33" s="9" t="s">
        <v>33</v>
      </c>
      <c r="K33" s="38">
        <v>2013</v>
      </c>
    </row>
    <row r="34" spans="1:11" s="6" customFormat="1" ht="15">
      <c r="A34" s="37">
        <v>57</v>
      </c>
      <c r="B34" s="9">
        <v>59</v>
      </c>
      <c r="C34" s="9">
        <v>0</v>
      </c>
      <c r="D34" s="9">
        <v>65</v>
      </c>
      <c r="E34" s="9">
        <v>2</v>
      </c>
      <c r="F34" s="9" t="s">
        <v>32</v>
      </c>
      <c r="G34" s="9">
        <v>55.3</v>
      </c>
      <c r="H34" s="9">
        <v>45.3</v>
      </c>
      <c r="I34" s="5">
        <f t="shared" si="0"/>
        <v>0.3915602543617979</v>
      </c>
      <c r="J34" s="9" t="s">
        <v>33</v>
      </c>
      <c r="K34" s="38">
        <v>2015</v>
      </c>
    </row>
    <row r="35" spans="1:11" s="6" customFormat="1" ht="15">
      <c r="A35" s="37">
        <v>58</v>
      </c>
      <c r="B35" s="9">
        <v>11.1</v>
      </c>
      <c r="C35" s="9">
        <v>0</v>
      </c>
      <c r="D35" s="9">
        <v>65</v>
      </c>
      <c r="E35" s="9">
        <v>2</v>
      </c>
      <c r="F35" s="9" t="s">
        <v>32</v>
      </c>
      <c r="G35" s="9">
        <v>55.3</v>
      </c>
      <c r="H35" s="9">
        <v>45.3</v>
      </c>
      <c r="I35" s="5">
        <f t="shared" si="0"/>
        <v>0.07366642073586367</v>
      </c>
      <c r="J35" s="9" t="s">
        <v>33</v>
      </c>
      <c r="K35" s="38">
        <v>2013</v>
      </c>
    </row>
    <row r="36" spans="1:11" s="6" customFormat="1" ht="15">
      <c r="A36" s="37">
        <v>9</v>
      </c>
      <c r="B36" s="9">
        <v>4</v>
      </c>
      <c r="C36" s="9">
        <v>0</v>
      </c>
      <c r="D36" s="9">
        <v>50</v>
      </c>
      <c r="E36" s="9">
        <v>2</v>
      </c>
      <c r="F36" s="9" t="s">
        <v>18</v>
      </c>
      <c r="G36" s="9">
        <v>55.3</v>
      </c>
      <c r="H36" s="9">
        <v>45.3</v>
      </c>
      <c r="I36" s="5">
        <f t="shared" si="0"/>
        <v>0.015707963267948967</v>
      </c>
      <c r="J36" s="9" t="s">
        <v>33</v>
      </c>
      <c r="K36" s="38">
        <v>2011</v>
      </c>
    </row>
    <row r="37" spans="1:11" s="6" customFormat="1" ht="15">
      <c r="A37" s="37">
        <v>42</v>
      </c>
      <c r="B37" s="9">
        <f>14+5.3+25+9.4+7.6</f>
        <v>61.3</v>
      </c>
      <c r="C37" s="9">
        <v>1</v>
      </c>
      <c r="D37" s="9">
        <v>50</v>
      </c>
      <c r="E37" s="9">
        <v>2</v>
      </c>
      <c r="F37" s="9" t="s">
        <v>18</v>
      </c>
      <c r="G37" s="9">
        <v>55.3</v>
      </c>
      <c r="H37" s="9">
        <v>45.3</v>
      </c>
      <c r="I37" s="5">
        <f t="shared" si="0"/>
        <v>0.2407245370813179</v>
      </c>
      <c r="J37" s="9" t="s">
        <v>29</v>
      </c>
      <c r="K37" s="38" t="s">
        <v>30</v>
      </c>
    </row>
    <row r="38" spans="1:11" s="6" customFormat="1" ht="15">
      <c r="A38" s="37">
        <v>30</v>
      </c>
      <c r="B38" s="9">
        <f>6.5+36.2+24.5</f>
        <v>67.2</v>
      </c>
      <c r="C38" s="9">
        <v>0</v>
      </c>
      <c r="D38" s="9">
        <v>50</v>
      </c>
      <c r="E38" s="9">
        <v>2</v>
      </c>
      <c r="F38" s="9" t="s">
        <v>18</v>
      </c>
      <c r="G38" s="9">
        <v>55.3</v>
      </c>
      <c r="H38" s="9">
        <v>45.3</v>
      </c>
      <c r="I38" s="5">
        <f t="shared" si="0"/>
        <v>0.26389378290154264</v>
      </c>
      <c r="J38" s="9" t="s">
        <v>29</v>
      </c>
      <c r="K38" s="38" t="s">
        <v>34</v>
      </c>
    </row>
    <row r="39" spans="1:11" s="6" customFormat="1" ht="15">
      <c r="A39" s="37">
        <v>54</v>
      </c>
      <c r="B39" s="9">
        <v>6.1</v>
      </c>
      <c r="C39" s="9">
        <v>0</v>
      </c>
      <c r="D39" s="9">
        <v>50</v>
      </c>
      <c r="E39" s="9">
        <v>2</v>
      </c>
      <c r="F39" s="9" t="s">
        <v>32</v>
      </c>
      <c r="G39" s="9">
        <v>55.3</v>
      </c>
      <c r="H39" s="9">
        <v>45.3</v>
      </c>
      <c r="I39" s="5">
        <f t="shared" si="0"/>
        <v>0.023954643983622174</v>
      </c>
      <c r="J39" s="9" t="s">
        <v>33</v>
      </c>
      <c r="K39" s="38">
        <v>2013</v>
      </c>
    </row>
    <row r="40" spans="1:11" s="6" customFormat="1" ht="15">
      <c r="A40" s="37">
        <v>56</v>
      </c>
      <c r="B40" s="9">
        <v>64.6</v>
      </c>
      <c r="C40" s="9">
        <v>0</v>
      </c>
      <c r="D40" s="9">
        <v>50</v>
      </c>
      <c r="E40" s="9">
        <v>2</v>
      </c>
      <c r="F40" s="9" t="s">
        <v>32</v>
      </c>
      <c r="G40" s="9">
        <v>55.3</v>
      </c>
      <c r="H40" s="9">
        <v>45.3</v>
      </c>
      <c r="I40" s="5"/>
      <c r="J40" s="9" t="s">
        <v>33</v>
      </c>
      <c r="K40" s="38">
        <v>2014</v>
      </c>
    </row>
    <row r="41" spans="1:11" s="6" customFormat="1" ht="15">
      <c r="A41" s="37">
        <v>23</v>
      </c>
      <c r="B41" s="9">
        <v>28.5</v>
      </c>
      <c r="C41" s="9">
        <v>0</v>
      </c>
      <c r="D41" s="9">
        <v>50</v>
      </c>
      <c r="E41" s="9">
        <v>2</v>
      </c>
      <c r="F41" s="9" t="s">
        <v>32</v>
      </c>
      <c r="G41" s="9">
        <v>55.3</v>
      </c>
      <c r="H41" s="9">
        <v>45.3</v>
      </c>
      <c r="I41" s="5"/>
      <c r="J41" s="9" t="s">
        <v>33</v>
      </c>
      <c r="K41" s="38">
        <v>2016</v>
      </c>
    </row>
    <row r="42" spans="1:11" s="6" customFormat="1" ht="15">
      <c r="A42" s="37">
        <v>62</v>
      </c>
      <c r="B42" s="9">
        <v>26</v>
      </c>
      <c r="C42" s="9">
        <v>0</v>
      </c>
      <c r="D42" s="9">
        <v>50</v>
      </c>
      <c r="E42" s="9">
        <v>2</v>
      </c>
      <c r="F42" s="9" t="s">
        <v>18</v>
      </c>
      <c r="G42" s="9">
        <v>55.3</v>
      </c>
      <c r="H42" s="9">
        <v>45.3</v>
      </c>
      <c r="I42" s="5"/>
      <c r="J42" s="9" t="s">
        <v>31</v>
      </c>
      <c r="K42" s="38">
        <v>2017</v>
      </c>
    </row>
    <row r="43" spans="1:11" s="6" customFormat="1" ht="15">
      <c r="A43" s="37">
        <v>43</v>
      </c>
      <c r="B43" s="9">
        <f>1.5</f>
        <v>1.5</v>
      </c>
      <c r="C43" s="9">
        <v>1</v>
      </c>
      <c r="D43" s="9">
        <v>40</v>
      </c>
      <c r="E43" s="9">
        <v>2</v>
      </c>
      <c r="F43" s="9" t="s">
        <v>18</v>
      </c>
      <c r="G43" s="9">
        <v>55.3</v>
      </c>
      <c r="H43" s="9">
        <v>45.3</v>
      </c>
      <c r="I43" s="5">
        <f aca="true" t="shared" si="1" ref="I43:I54">(PI()*((D43/1000)^2)/4)*B43*E43</f>
        <v>0.0037699111843077517</v>
      </c>
      <c r="J43" s="9" t="s">
        <v>29</v>
      </c>
      <c r="K43" s="38" t="s">
        <v>30</v>
      </c>
    </row>
    <row r="44" spans="1:11" s="6" customFormat="1" ht="15">
      <c r="A44" s="37">
        <v>55</v>
      </c>
      <c r="B44" s="9">
        <v>80</v>
      </c>
      <c r="C44" s="9">
        <v>0</v>
      </c>
      <c r="D44" s="9">
        <v>40</v>
      </c>
      <c r="E44" s="9">
        <v>2</v>
      </c>
      <c r="F44" s="9" t="s">
        <v>32</v>
      </c>
      <c r="G44" s="9">
        <v>55.3</v>
      </c>
      <c r="H44" s="9">
        <v>45.3</v>
      </c>
      <c r="I44" s="5">
        <f t="shared" si="1"/>
        <v>0.20106192982974674</v>
      </c>
      <c r="J44" s="9" t="s">
        <v>33</v>
      </c>
      <c r="K44" s="38">
        <v>2014</v>
      </c>
    </row>
    <row r="45" spans="1:11" s="6" customFormat="1" ht="15">
      <c r="A45" s="37">
        <v>59</v>
      </c>
      <c r="B45" s="9">
        <v>7</v>
      </c>
      <c r="C45" s="9">
        <v>0</v>
      </c>
      <c r="D45" s="9">
        <v>40</v>
      </c>
      <c r="E45" s="9">
        <v>2</v>
      </c>
      <c r="F45" s="9" t="s">
        <v>18</v>
      </c>
      <c r="G45" s="9">
        <v>55.3</v>
      </c>
      <c r="H45" s="9">
        <v>45.3</v>
      </c>
      <c r="I45" s="5">
        <f t="shared" si="1"/>
        <v>0.017592918860102842</v>
      </c>
      <c r="J45" s="9" t="s">
        <v>29</v>
      </c>
      <c r="K45" s="38">
        <v>2015</v>
      </c>
    </row>
    <row r="46" spans="1:11" s="6" customFormat="1" ht="15">
      <c r="A46" s="37">
        <v>47</v>
      </c>
      <c r="B46" s="9">
        <f>24.7+14</f>
        <v>38.7</v>
      </c>
      <c r="C46" s="9"/>
      <c r="D46" s="9">
        <v>40</v>
      </c>
      <c r="E46" s="9">
        <v>2</v>
      </c>
      <c r="F46" s="9" t="s">
        <v>18</v>
      </c>
      <c r="G46" s="9">
        <v>55.3</v>
      </c>
      <c r="H46" s="9">
        <v>45.3</v>
      </c>
      <c r="I46" s="5">
        <f t="shared" si="1"/>
        <v>0.09726370855514001</v>
      </c>
      <c r="J46" s="9" t="s">
        <v>31</v>
      </c>
      <c r="K46" s="38">
        <v>2016</v>
      </c>
    </row>
    <row r="47" spans="1:11" s="6" customFormat="1" ht="15">
      <c r="A47" s="37">
        <v>44</v>
      </c>
      <c r="B47" s="9">
        <f>14.7+5.8+5+54.9</f>
        <v>80.4</v>
      </c>
      <c r="C47" s="9">
        <v>1</v>
      </c>
      <c r="D47" s="9">
        <v>32</v>
      </c>
      <c r="E47" s="9">
        <v>2</v>
      </c>
      <c r="F47" s="9" t="s">
        <v>18</v>
      </c>
      <c r="G47" s="9">
        <v>55.3</v>
      </c>
      <c r="H47" s="9">
        <v>45.3</v>
      </c>
      <c r="I47" s="5">
        <f t="shared" si="1"/>
        <v>0.1293230332664931</v>
      </c>
      <c r="J47" s="9" t="s">
        <v>29</v>
      </c>
      <c r="K47" s="38" t="s">
        <v>30</v>
      </c>
    </row>
    <row r="48" spans="1:11" s="6" customFormat="1" ht="15">
      <c r="A48" s="37">
        <v>31</v>
      </c>
      <c r="B48" s="9">
        <v>11</v>
      </c>
      <c r="C48" s="9">
        <v>0</v>
      </c>
      <c r="D48" s="9">
        <v>32</v>
      </c>
      <c r="E48" s="9">
        <v>2</v>
      </c>
      <c r="F48" s="9" t="s">
        <v>18</v>
      </c>
      <c r="G48" s="9">
        <v>55.3</v>
      </c>
      <c r="H48" s="9">
        <v>45.3</v>
      </c>
      <c r="I48" s="5">
        <f t="shared" si="1"/>
        <v>0.017693449825017714</v>
      </c>
      <c r="J48" s="9" t="s">
        <v>29</v>
      </c>
      <c r="K48" s="38" t="s">
        <v>34</v>
      </c>
    </row>
    <row r="49" spans="1:11" s="6" customFormat="1" ht="15">
      <c r="A49" s="37"/>
      <c r="B49" s="9">
        <v>55</v>
      </c>
      <c r="C49" s="9">
        <v>0</v>
      </c>
      <c r="D49" s="9">
        <v>32</v>
      </c>
      <c r="E49" s="9">
        <v>2</v>
      </c>
      <c r="F49" s="9" t="s">
        <v>18</v>
      </c>
      <c r="G49" s="9">
        <v>55.3</v>
      </c>
      <c r="H49" s="9">
        <v>45.3</v>
      </c>
      <c r="I49" s="5">
        <f t="shared" si="1"/>
        <v>0.08846724912508856</v>
      </c>
      <c r="J49" s="9" t="s">
        <v>31</v>
      </c>
      <c r="K49" s="38">
        <v>2019</v>
      </c>
    </row>
    <row r="50" spans="1:11" s="6" customFormat="1" ht="15">
      <c r="A50" s="37">
        <v>48</v>
      </c>
      <c r="B50" s="9">
        <v>8.5</v>
      </c>
      <c r="C50" s="9"/>
      <c r="D50" s="9">
        <v>25</v>
      </c>
      <c r="E50" s="9">
        <v>2</v>
      </c>
      <c r="F50" s="9" t="s">
        <v>18</v>
      </c>
      <c r="G50" s="9">
        <v>55.3</v>
      </c>
      <c r="H50" s="9">
        <v>45.3</v>
      </c>
      <c r="I50" s="5">
        <f t="shared" si="1"/>
        <v>0.00834485548609789</v>
      </c>
      <c r="J50" s="9" t="s">
        <v>29</v>
      </c>
      <c r="K50" s="38">
        <v>2003</v>
      </c>
    </row>
    <row r="51" spans="1:11" s="6" customFormat="1" ht="15.75" customHeight="1">
      <c r="A51" s="37">
        <v>45</v>
      </c>
      <c r="B51" s="9">
        <f>12.5+15.5+3+23+10+18.4+21.6+16.5+17.3+40.4+25.5</f>
        <v>203.70000000000002</v>
      </c>
      <c r="C51" s="9">
        <v>0</v>
      </c>
      <c r="D51" s="9">
        <v>25</v>
      </c>
      <c r="E51" s="9">
        <v>2</v>
      </c>
      <c r="F51" s="9" t="s">
        <v>18</v>
      </c>
      <c r="G51" s="9">
        <v>55.3</v>
      </c>
      <c r="H51" s="9">
        <v>45.3</v>
      </c>
      <c r="I51" s="5">
        <f t="shared" si="1"/>
        <v>0.1999820073550753</v>
      </c>
      <c r="J51" s="9" t="s">
        <v>29</v>
      </c>
      <c r="K51" s="38" t="s">
        <v>30</v>
      </c>
    </row>
    <row r="52" spans="1:11" s="6" customFormat="1" ht="15">
      <c r="A52" s="37">
        <v>32</v>
      </c>
      <c r="B52" s="9">
        <v>12.8</v>
      </c>
      <c r="C52" s="9">
        <v>0</v>
      </c>
      <c r="D52" s="9">
        <v>25</v>
      </c>
      <c r="E52" s="9">
        <v>2</v>
      </c>
      <c r="F52" s="9" t="s">
        <v>18</v>
      </c>
      <c r="G52" s="9">
        <v>55.3</v>
      </c>
      <c r="H52" s="9">
        <v>45.3</v>
      </c>
      <c r="I52" s="5">
        <f t="shared" si="1"/>
        <v>0.012566370614359175</v>
      </c>
      <c r="J52" s="9" t="s">
        <v>29</v>
      </c>
      <c r="K52" s="38" t="s">
        <v>34</v>
      </c>
    </row>
    <row r="53" spans="1:11" s="6" customFormat="1" ht="15">
      <c r="A53" s="37"/>
      <c r="B53" s="9">
        <v>27.2</v>
      </c>
      <c r="C53" s="9"/>
      <c r="D53" s="9">
        <v>25</v>
      </c>
      <c r="E53" s="9">
        <v>2</v>
      </c>
      <c r="F53" s="9" t="s">
        <v>18</v>
      </c>
      <c r="G53" s="9">
        <v>55.3</v>
      </c>
      <c r="H53" s="9">
        <v>45.3</v>
      </c>
      <c r="I53" s="5">
        <f t="shared" si="1"/>
        <v>0.026703537555513242</v>
      </c>
      <c r="J53" s="9" t="s">
        <v>31</v>
      </c>
      <c r="K53" s="38">
        <v>2019</v>
      </c>
    </row>
    <row r="54" spans="1:11" s="6" customFormat="1" ht="15">
      <c r="A54" s="37">
        <v>46</v>
      </c>
      <c r="B54" s="9">
        <v>7.2</v>
      </c>
      <c r="C54" s="9">
        <v>0</v>
      </c>
      <c r="D54" s="9">
        <v>20</v>
      </c>
      <c r="E54" s="9">
        <v>2</v>
      </c>
      <c r="F54" s="9" t="s">
        <v>18</v>
      </c>
      <c r="G54" s="9">
        <v>55.3</v>
      </c>
      <c r="H54" s="9">
        <v>45.3</v>
      </c>
      <c r="I54" s="5">
        <f t="shared" si="1"/>
        <v>0.004523893421169302</v>
      </c>
      <c r="J54" s="9" t="s">
        <v>29</v>
      </c>
      <c r="K54" s="38" t="s">
        <v>30</v>
      </c>
    </row>
    <row r="55" spans="1:11" s="6" customFormat="1" ht="15.75">
      <c r="A55" s="114" t="s">
        <v>20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6"/>
    </row>
    <row r="56" spans="1:11" s="6" customFormat="1" ht="15.75">
      <c r="A56" s="39">
        <v>11</v>
      </c>
      <c r="B56" s="8">
        <f>99.6+9+2</f>
        <v>110.6</v>
      </c>
      <c r="C56" s="8">
        <v>0</v>
      </c>
      <c r="D56" s="8">
        <v>400</v>
      </c>
      <c r="E56" s="9">
        <v>2</v>
      </c>
      <c r="F56" s="9" t="s">
        <v>21</v>
      </c>
      <c r="G56" s="9">
        <v>55.3</v>
      </c>
      <c r="H56" s="9">
        <v>45.3</v>
      </c>
      <c r="I56" s="5">
        <f>(PI()*((D56/1000)^2)/4)*B56*E56</f>
        <v>27.79681179896249</v>
      </c>
      <c r="J56" s="9" t="s">
        <v>29</v>
      </c>
      <c r="K56" s="40">
        <v>2012</v>
      </c>
    </row>
    <row r="57" spans="1:11" s="6" customFormat="1" ht="15">
      <c r="A57" s="41">
        <v>33</v>
      </c>
      <c r="B57" s="42">
        <f>40+59+12.6+206.4</f>
        <v>318</v>
      </c>
      <c r="C57" s="42">
        <v>0</v>
      </c>
      <c r="D57" s="42">
        <v>300</v>
      </c>
      <c r="E57" s="9">
        <v>2</v>
      </c>
      <c r="F57" s="9" t="s">
        <v>21</v>
      </c>
      <c r="G57" s="9">
        <v>55.3</v>
      </c>
      <c r="H57" s="9">
        <v>45.3</v>
      </c>
      <c r="I57" s="5">
        <f aca="true" t="shared" si="2" ref="I57:I76">(PI()*((D57/1000)^2)/4)*B57*E57</f>
        <v>44.95619087286994</v>
      </c>
      <c r="J57" s="9" t="s">
        <v>29</v>
      </c>
      <c r="K57" s="43">
        <v>1992</v>
      </c>
    </row>
    <row r="58" spans="1:11" s="6" customFormat="1" ht="15">
      <c r="A58" s="41">
        <v>34</v>
      </c>
      <c r="B58" s="42">
        <v>158.6</v>
      </c>
      <c r="C58" s="42">
        <v>0</v>
      </c>
      <c r="D58" s="42">
        <v>250</v>
      </c>
      <c r="E58" s="9">
        <v>2</v>
      </c>
      <c r="F58" s="9" t="s">
        <v>21</v>
      </c>
      <c r="G58" s="9">
        <v>55.3</v>
      </c>
      <c r="H58" s="9">
        <v>45.3</v>
      </c>
      <c r="I58" s="5">
        <f>(PI()*((D58/1000)^2)/4)*B58*E58</f>
        <v>15.570518589354412</v>
      </c>
      <c r="J58" s="9" t="s">
        <v>29</v>
      </c>
      <c r="K58" s="43">
        <v>1992</v>
      </c>
    </row>
    <row r="59" spans="1:11" s="6" customFormat="1" ht="15">
      <c r="A59" s="37">
        <v>64</v>
      </c>
      <c r="B59" s="9">
        <v>11</v>
      </c>
      <c r="C59" s="9">
        <v>0</v>
      </c>
      <c r="D59" s="9">
        <v>250</v>
      </c>
      <c r="E59" s="9">
        <v>2</v>
      </c>
      <c r="F59" s="9" t="s">
        <v>21</v>
      </c>
      <c r="G59" s="9">
        <v>55.3</v>
      </c>
      <c r="H59" s="9">
        <v>45.3</v>
      </c>
      <c r="I59" s="5">
        <f>(PI()*((D59/1000)^2)/4)*B59*E59</f>
        <v>1.0799224746714913</v>
      </c>
      <c r="J59" s="9" t="s">
        <v>31</v>
      </c>
      <c r="K59" s="38">
        <v>2018</v>
      </c>
    </row>
    <row r="60" spans="1:11" s="6" customFormat="1" ht="15">
      <c r="A60" s="41">
        <v>12</v>
      </c>
      <c r="B60" s="42">
        <v>59.2</v>
      </c>
      <c r="C60" s="42">
        <v>0</v>
      </c>
      <c r="D60" s="42">
        <v>200</v>
      </c>
      <c r="E60" s="9">
        <v>2</v>
      </c>
      <c r="F60" s="9" t="s">
        <v>21</v>
      </c>
      <c r="G60" s="9">
        <v>55.3</v>
      </c>
      <c r="H60" s="9">
        <v>45.3</v>
      </c>
      <c r="I60" s="5">
        <f t="shared" si="2"/>
        <v>3.7196457018503155</v>
      </c>
      <c r="J60" s="9" t="s">
        <v>29</v>
      </c>
      <c r="K60" s="43">
        <v>2012</v>
      </c>
    </row>
    <row r="61" spans="1:11" s="6" customFormat="1" ht="15">
      <c r="A61" s="41">
        <v>25</v>
      </c>
      <c r="B61" s="42">
        <v>252.3</v>
      </c>
      <c r="C61" s="42">
        <v>0</v>
      </c>
      <c r="D61" s="42">
        <v>200</v>
      </c>
      <c r="E61" s="9">
        <v>2</v>
      </c>
      <c r="F61" s="9" t="s">
        <v>21</v>
      </c>
      <c r="G61" s="9">
        <v>55.3</v>
      </c>
      <c r="H61" s="9">
        <v>45.3</v>
      </c>
      <c r="I61" s="5">
        <f t="shared" si="2"/>
        <v>15.852476530014098</v>
      </c>
      <c r="J61" s="9" t="s">
        <v>29</v>
      </c>
      <c r="K61" s="43">
        <v>2002</v>
      </c>
    </row>
    <row r="62" spans="1:11" s="6" customFormat="1" ht="15">
      <c r="A62" s="41">
        <v>13</v>
      </c>
      <c r="B62" s="42">
        <v>127.2</v>
      </c>
      <c r="C62" s="42">
        <v>0</v>
      </c>
      <c r="D62" s="42">
        <v>200</v>
      </c>
      <c r="E62" s="9">
        <v>2</v>
      </c>
      <c r="F62" s="9" t="s">
        <v>21</v>
      </c>
      <c r="G62" s="9">
        <v>55.3</v>
      </c>
      <c r="H62" s="9">
        <v>45.3</v>
      </c>
      <c r="I62" s="5">
        <f t="shared" si="2"/>
        <v>7.992211710732435</v>
      </c>
      <c r="J62" s="9" t="s">
        <v>29</v>
      </c>
      <c r="K62" s="43">
        <v>2006</v>
      </c>
    </row>
    <row r="63" spans="1:11" s="6" customFormat="1" ht="15">
      <c r="A63" s="41">
        <v>35</v>
      </c>
      <c r="B63" s="42">
        <f>63.7+30.2+48</f>
        <v>141.9</v>
      </c>
      <c r="C63" s="42">
        <v>0</v>
      </c>
      <c r="D63" s="42">
        <v>200</v>
      </c>
      <c r="E63" s="9">
        <v>2</v>
      </c>
      <c r="F63" s="9" t="s">
        <v>21</v>
      </c>
      <c r="G63" s="9">
        <v>55.3</v>
      </c>
      <c r="H63" s="9">
        <v>45.3</v>
      </c>
      <c r="I63" s="5">
        <f t="shared" si="2"/>
        <v>8.915839950887834</v>
      </c>
      <c r="J63" s="9" t="s">
        <v>31</v>
      </c>
      <c r="K63" s="38">
        <v>1992</v>
      </c>
    </row>
    <row r="64" spans="1:11" s="6" customFormat="1" ht="15">
      <c r="A64" s="41">
        <v>26</v>
      </c>
      <c r="B64" s="42">
        <f>70+50+40+21.3+14</f>
        <v>195.3</v>
      </c>
      <c r="C64" s="42">
        <v>0</v>
      </c>
      <c r="D64" s="42">
        <v>150</v>
      </c>
      <c r="E64" s="9">
        <v>2</v>
      </c>
      <c r="F64" s="9" t="s">
        <v>21</v>
      </c>
      <c r="G64" s="9">
        <v>55.3</v>
      </c>
      <c r="H64" s="9">
        <v>45.3</v>
      </c>
      <c r="I64" s="5">
        <f t="shared" si="2"/>
        <v>6.902471759018475</v>
      </c>
      <c r="J64" s="9" t="s">
        <v>29</v>
      </c>
      <c r="K64" s="43">
        <v>2002</v>
      </c>
    </row>
    <row r="65" spans="1:11" s="6" customFormat="1" ht="15">
      <c r="A65" s="41">
        <v>14</v>
      </c>
      <c r="B65" s="42">
        <f>141.5+55.8</f>
        <v>197.3</v>
      </c>
      <c r="C65" s="42">
        <v>0</v>
      </c>
      <c r="D65" s="42">
        <v>125</v>
      </c>
      <c r="E65" s="9">
        <v>2</v>
      </c>
      <c r="F65" s="9" t="s">
        <v>21</v>
      </c>
      <c r="G65" s="9">
        <v>55.3</v>
      </c>
      <c r="H65" s="9">
        <v>45.3</v>
      </c>
      <c r="I65" s="5">
        <f t="shared" si="2"/>
        <v>4.842470551197392</v>
      </c>
      <c r="J65" s="9" t="s">
        <v>29</v>
      </c>
      <c r="K65" s="43">
        <v>2006</v>
      </c>
    </row>
    <row r="66" spans="1:11" s="21" customFormat="1" ht="15">
      <c r="A66" s="41">
        <v>27</v>
      </c>
      <c r="B66" s="42">
        <v>65.8</v>
      </c>
      <c r="C66" s="42">
        <v>0</v>
      </c>
      <c r="D66" s="42">
        <v>100</v>
      </c>
      <c r="E66" s="9">
        <v>2</v>
      </c>
      <c r="F66" s="9" t="s">
        <v>21</v>
      </c>
      <c r="G66" s="9">
        <v>55.3</v>
      </c>
      <c r="H66" s="9">
        <v>45.3</v>
      </c>
      <c r="I66" s="5">
        <f t="shared" si="2"/>
        <v>1.033583983031042</v>
      </c>
      <c r="J66" s="9" t="s">
        <v>29</v>
      </c>
      <c r="K66" s="43">
        <v>2002</v>
      </c>
    </row>
    <row r="67" spans="1:11" s="21" customFormat="1" ht="15">
      <c r="A67" s="41">
        <v>51</v>
      </c>
      <c r="B67" s="42">
        <v>48.4</v>
      </c>
      <c r="C67" s="42">
        <v>0</v>
      </c>
      <c r="D67" s="42">
        <v>100</v>
      </c>
      <c r="E67" s="9">
        <v>2</v>
      </c>
      <c r="F67" s="9" t="s">
        <v>21</v>
      </c>
      <c r="G67" s="9">
        <v>55.3</v>
      </c>
      <c r="H67" s="9">
        <v>45.3</v>
      </c>
      <c r="I67" s="5">
        <f>(PI()*((D67/1000)^2)/4)*B67*E67</f>
        <v>0.7602654221687299</v>
      </c>
      <c r="J67" s="9" t="s">
        <v>33</v>
      </c>
      <c r="K67" s="43">
        <v>2013</v>
      </c>
    </row>
    <row r="68" spans="1:11" s="21" customFormat="1" ht="15">
      <c r="A68" s="41">
        <v>16</v>
      </c>
      <c r="B68" s="42">
        <v>120</v>
      </c>
      <c r="C68" s="42">
        <v>0</v>
      </c>
      <c r="D68" s="42">
        <v>80</v>
      </c>
      <c r="E68" s="9">
        <v>2</v>
      </c>
      <c r="F68" s="9" t="s">
        <v>21</v>
      </c>
      <c r="G68" s="9">
        <v>55.3</v>
      </c>
      <c r="H68" s="9">
        <v>45.3</v>
      </c>
      <c r="I68" s="5">
        <f>(PI()*((D68/1000)^2)/4)*B68*E68</f>
        <v>1.2063715789784806</v>
      </c>
      <c r="J68" s="9" t="s">
        <v>29</v>
      </c>
      <c r="K68" s="43">
        <v>2011</v>
      </c>
    </row>
    <row r="69" spans="1:11" s="21" customFormat="1" ht="15">
      <c r="A69" s="41">
        <v>60</v>
      </c>
      <c r="B69" s="42">
        <v>2.5</v>
      </c>
      <c r="C69" s="42">
        <v>0</v>
      </c>
      <c r="D69" s="42">
        <v>80</v>
      </c>
      <c r="E69" s="9">
        <v>2</v>
      </c>
      <c r="F69" s="9" t="s">
        <v>21</v>
      </c>
      <c r="G69" s="9">
        <v>55.3</v>
      </c>
      <c r="H69" s="9">
        <v>45.3</v>
      </c>
      <c r="I69" s="5">
        <f>(PI()*((D69/1000)^2)/4)*B69*E69</f>
        <v>0.025132741228718343</v>
      </c>
      <c r="J69" s="9" t="s">
        <v>31</v>
      </c>
      <c r="K69" s="43">
        <v>2017</v>
      </c>
    </row>
    <row r="70" spans="1:11" ht="15.75" customHeight="1">
      <c r="A70" s="41">
        <v>17</v>
      </c>
      <c r="B70" s="42">
        <f>53.8+40</f>
        <v>93.8</v>
      </c>
      <c r="C70" s="42">
        <v>0</v>
      </c>
      <c r="D70" s="42">
        <v>50</v>
      </c>
      <c r="E70" s="9">
        <v>2</v>
      </c>
      <c r="F70" s="9" t="s">
        <v>21</v>
      </c>
      <c r="G70" s="9">
        <v>55.3</v>
      </c>
      <c r="H70" s="9">
        <v>45.3</v>
      </c>
      <c r="I70" s="5">
        <f t="shared" si="2"/>
        <v>0.36835173863340326</v>
      </c>
      <c r="J70" s="9" t="s">
        <v>29</v>
      </c>
      <c r="K70" s="43">
        <v>2006</v>
      </c>
    </row>
    <row r="71" spans="1:11" ht="15.75" customHeight="1">
      <c r="A71" s="41">
        <v>18</v>
      </c>
      <c r="B71" s="42">
        <v>17</v>
      </c>
      <c r="C71" s="42">
        <v>0</v>
      </c>
      <c r="D71" s="42">
        <v>50</v>
      </c>
      <c r="E71" s="42">
        <v>2</v>
      </c>
      <c r="F71" s="9" t="s">
        <v>21</v>
      </c>
      <c r="G71" s="9">
        <v>55.3</v>
      </c>
      <c r="H71" s="9">
        <v>45.3</v>
      </c>
      <c r="I71" s="5">
        <f>(PI()*((D71/1000)^2)/4)*B71*E71</f>
        <v>0.06675884388878311</v>
      </c>
      <c r="J71" s="9" t="s">
        <v>29</v>
      </c>
      <c r="K71" s="43">
        <v>2012</v>
      </c>
    </row>
    <row r="72" spans="1:11" ht="15.75" customHeight="1">
      <c r="A72" s="44" t="s">
        <v>35</v>
      </c>
      <c r="B72" s="42">
        <v>69.5</v>
      </c>
      <c r="C72" s="42">
        <v>0</v>
      </c>
      <c r="D72" s="42">
        <v>40</v>
      </c>
      <c r="E72" s="42">
        <v>2</v>
      </c>
      <c r="F72" s="9" t="s">
        <v>21</v>
      </c>
      <c r="G72" s="9">
        <v>55.3</v>
      </c>
      <c r="H72" s="9">
        <v>45.3</v>
      </c>
      <c r="I72" s="5">
        <f>(PI()*((D72/1000)^2)/4)*B72*E72</f>
        <v>0.1746725515395925</v>
      </c>
      <c r="J72" s="9" t="s">
        <v>29</v>
      </c>
      <c r="K72" s="43">
        <v>2007</v>
      </c>
    </row>
    <row r="73" spans="1:11" ht="15.75" customHeight="1">
      <c r="A73" s="44" t="s">
        <v>36</v>
      </c>
      <c r="B73" s="42">
        <v>13.9</v>
      </c>
      <c r="C73" s="42">
        <v>0</v>
      </c>
      <c r="D73" s="42">
        <v>40</v>
      </c>
      <c r="E73" s="42">
        <v>2</v>
      </c>
      <c r="F73" s="9" t="s">
        <v>21</v>
      </c>
      <c r="G73" s="9">
        <v>55.3</v>
      </c>
      <c r="H73" s="9">
        <v>45.3</v>
      </c>
      <c r="I73" s="5">
        <f>(PI()*((D73/1000)^2)/4)*B73*E73</f>
        <v>0.0349345103079185</v>
      </c>
      <c r="J73" s="9" t="s">
        <v>29</v>
      </c>
      <c r="K73" s="43">
        <v>2012</v>
      </c>
    </row>
    <row r="74" spans="1:11" s="6" customFormat="1" ht="15">
      <c r="A74" s="41">
        <v>21</v>
      </c>
      <c r="B74" s="42">
        <f>78+8.5</f>
        <v>86.5</v>
      </c>
      <c r="C74" s="42">
        <v>0</v>
      </c>
      <c r="D74" s="42">
        <v>32</v>
      </c>
      <c r="E74" s="42">
        <v>2</v>
      </c>
      <c r="F74" s="9" t="s">
        <v>21</v>
      </c>
      <c r="G74" s="9">
        <v>55.3</v>
      </c>
      <c r="H74" s="9">
        <v>45.3</v>
      </c>
      <c r="I74" s="5">
        <f t="shared" si="2"/>
        <v>0.13913485544218473</v>
      </c>
      <c r="J74" s="9" t="s">
        <v>29</v>
      </c>
      <c r="K74" s="43">
        <v>2012</v>
      </c>
    </row>
    <row r="75" spans="1:11" s="6" customFormat="1" ht="15">
      <c r="A75" s="41"/>
      <c r="B75" s="42">
        <f>15.6+11.3</f>
        <v>26.9</v>
      </c>
      <c r="C75" s="42"/>
      <c r="D75" s="42">
        <v>25</v>
      </c>
      <c r="E75" s="42">
        <v>3</v>
      </c>
      <c r="F75" s="9" t="s">
        <v>21</v>
      </c>
      <c r="G75" s="9">
        <v>55.3</v>
      </c>
      <c r="H75" s="9">
        <v>45.3</v>
      </c>
      <c r="I75" s="5"/>
      <c r="J75" s="9" t="s">
        <v>31</v>
      </c>
      <c r="K75" s="43">
        <v>2019</v>
      </c>
    </row>
    <row r="76" spans="1:11" s="6" customFormat="1" ht="15.75" thickBot="1">
      <c r="A76" s="41">
        <v>22</v>
      </c>
      <c r="B76" s="42">
        <v>19</v>
      </c>
      <c r="C76" s="42">
        <v>0</v>
      </c>
      <c r="D76" s="42">
        <v>25</v>
      </c>
      <c r="E76" s="42">
        <v>2</v>
      </c>
      <c r="F76" s="9" t="s">
        <v>21</v>
      </c>
      <c r="G76" s="9">
        <v>55.3</v>
      </c>
      <c r="H76" s="9">
        <v>45.3</v>
      </c>
      <c r="I76" s="5">
        <f t="shared" si="2"/>
        <v>0.0186532063806894</v>
      </c>
      <c r="J76" s="9" t="s">
        <v>29</v>
      </c>
      <c r="K76" s="43">
        <v>2007</v>
      </c>
    </row>
    <row r="77" spans="1:11" s="6" customFormat="1" ht="15.75" thickBot="1">
      <c r="A77" s="45" t="s">
        <v>22</v>
      </c>
      <c r="B77" s="46">
        <f>SUM(B11:B76)</f>
        <v>5766.799999999998</v>
      </c>
      <c r="C77" s="46">
        <f>SUM(C11:C76)</f>
        <v>34</v>
      </c>
      <c r="D77" s="46"/>
      <c r="E77" s="46"/>
      <c r="F77" s="46"/>
      <c r="G77" s="46"/>
      <c r="H77" s="46"/>
      <c r="I77" s="47">
        <f>SUM(I11:I76)</f>
        <v>221.8770382746488</v>
      </c>
      <c r="J77" s="46"/>
      <c r="K77" s="48"/>
    </row>
    <row r="78" spans="1:11" s="6" customFormat="1" ht="15.75">
      <c r="A78" s="85" t="s">
        <v>23</v>
      </c>
      <c r="B78" s="86"/>
      <c r="C78" s="86"/>
      <c r="D78" s="86"/>
      <c r="E78" s="86"/>
      <c r="F78" s="86"/>
      <c r="G78" s="86"/>
      <c r="H78" s="86"/>
      <c r="I78" s="86"/>
      <c r="J78" s="86"/>
      <c r="K78" s="87"/>
    </row>
    <row r="79" spans="1:11" s="6" customFormat="1" ht="15">
      <c r="A79" s="37">
        <v>33</v>
      </c>
      <c r="B79" s="49">
        <f>67.9+10.3+50</f>
        <v>128.2</v>
      </c>
      <c r="C79" s="9">
        <v>0</v>
      </c>
      <c r="D79" s="9" t="s">
        <v>37</v>
      </c>
      <c r="E79" s="9">
        <v>2</v>
      </c>
      <c r="F79" s="9" t="s">
        <v>18</v>
      </c>
      <c r="G79" s="9">
        <v>65</v>
      </c>
      <c r="H79" s="9">
        <v>55</v>
      </c>
      <c r="I79" s="5" t="e">
        <f aca="true" t="shared" si="3" ref="I79:I95">(PI()*((D79/1000)^2)/4)*B79*E79</f>
        <v>#VALUE!</v>
      </c>
      <c r="J79" s="9" t="s">
        <v>29</v>
      </c>
      <c r="K79" s="38" t="s">
        <v>30</v>
      </c>
    </row>
    <row r="80" spans="1:11" s="6" customFormat="1" ht="15">
      <c r="A80" s="37">
        <v>34</v>
      </c>
      <c r="B80" s="49">
        <f>4.5+66.2</f>
        <v>70.7</v>
      </c>
      <c r="C80" s="9"/>
      <c r="D80" s="9" t="s">
        <v>38</v>
      </c>
      <c r="E80" s="9">
        <v>2</v>
      </c>
      <c r="F80" s="9" t="s">
        <v>18</v>
      </c>
      <c r="G80" s="9">
        <v>65</v>
      </c>
      <c r="H80" s="9">
        <v>55</v>
      </c>
      <c r="I80" s="5" t="e">
        <f t="shared" si="3"/>
        <v>#VALUE!</v>
      </c>
      <c r="J80" s="9" t="s">
        <v>29</v>
      </c>
      <c r="K80" s="38" t="s">
        <v>30</v>
      </c>
    </row>
    <row r="81" spans="1:11" s="6" customFormat="1" ht="15">
      <c r="A81" s="37">
        <v>1</v>
      </c>
      <c r="B81" s="9">
        <v>56.7</v>
      </c>
      <c r="C81" s="9">
        <v>0</v>
      </c>
      <c r="D81" s="9" t="s">
        <v>39</v>
      </c>
      <c r="E81" s="9">
        <v>2</v>
      </c>
      <c r="F81" s="9" t="s">
        <v>18</v>
      </c>
      <c r="G81" s="9">
        <v>65</v>
      </c>
      <c r="H81" s="9">
        <v>55</v>
      </c>
      <c r="I81" s="5" t="e">
        <f t="shared" si="3"/>
        <v>#VALUE!</v>
      </c>
      <c r="J81" s="9" t="s">
        <v>29</v>
      </c>
      <c r="K81" s="38">
        <v>2007</v>
      </c>
    </row>
    <row r="82" spans="1:11" s="6" customFormat="1" ht="15">
      <c r="A82" s="37">
        <v>57</v>
      </c>
      <c r="B82" s="9">
        <v>32</v>
      </c>
      <c r="C82" s="9">
        <v>0</v>
      </c>
      <c r="D82" s="9" t="s">
        <v>39</v>
      </c>
      <c r="E82" s="9">
        <v>2</v>
      </c>
      <c r="F82" s="9" t="s">
        <v>18</v>
      </c>
      <c r="G82" s="9">
        <v>65</v>
      </c>
      <c r="H82" s="9">
        <v>55</v>
      </c>
      <c r="I82" s="5" t="e">
        <f t="shared" si="3"/>
        <v>#VALUE!</v>
      </c>
      <c r="J82" s="9" t="s">
        <v>29</v>
      </c>
      <c r="K82" s="38">
        <v>2018</v>
      </c>
    </row>
    <row r="83" spans="1:11" s="6" customFormat="1" ht="15">
      <c r="A83" s="37">
        <v>35</v>
      </c>
      <c r="B83" s="9">
        <v>21.9</v>
      </c>
      <c r="C83" s="9">
        <v>0</v>
      </c>
      <c r="D83" s="9" t="s">
        <v>40</v>
      </c>
      <c r="E83" s="9">
        <v>2</v>
      </c>
      <c r="F83" s="9" t="s">
        <v>18</v>
      </c>
      <c r="G83" s="9">
        <v>65</v>
      </c>
      <c r="H83" s="9">
        <v>55</v>
      </c>
      <c r="I83" s="5" t="e">
        <f t="shared" si="3"/>
        <v>#VALUE!</v>
      </c>
      <c r="J83" s="9" t="s">
        <v>29</v>
      </c>
      <c r="K83" s="38">
        <v>2006</v>
      </c>
    </row>
    <row r="84" spans="1:11" s="6" customFormat="1" ht="15">
      <c r="A84" s="37">
        <v>2</v>
      </c>
      <c r="B84" s="9">
        <v>62.1</v>
      </c>
      <c r="C84" s="9">
        <v>0</v>
      </c>
      <c r="D84" s="9" t="s">
        <v>40</v>
      </c>
      <c r="E84" s="9">
        <v>2</v>
      </c>
      <c r="F84" s="9" t="s">
        <v>18</v>
      </c>
      <c r="G84" s="9">
        <v>65</v>
      </c>
      <c r="H84" s="9">
        <v>55</v>
      </c>
      <c r="I84" s="5" t="e">
        <f t="shared" si="3"/>
        <v>#VALUE!</v>
      </c>
      <c r="J84" s="9" t="s">
        <v>29</v>
      </c>
      <c r="K84" s="38">
        <v>2007</v>
      </c>
    </row>
    <row r="85" spans="1:11" s="6" customFormat="1" ht="15">
      <c r="A85" s="37">
        <v>5</v>
      </c>
      <c r="B85" s="9">
        <v>221.7</v>
      </c>
      <c r="C85" s="9">
        <v>0</v>
      </c>
      <c r="D85" s="9" t="s">
        <v>40</v>
      </c>
      <c r="E85" s="9">
        <v>2</v>
      </c>
      <c r="F85" s="9" t="s">
        <v>32</v>
      </c>
      <c r="G85" s="9">
        <v>65</v>
      </c>
      <c r="H85" s="9">
        <v>55</v>
      </c>
      <c r="I85" s="5" t="e">
        <f t="shared" si="3"/>
        <v>#VALUE!</v>
      </c>
      <c r="J85" s="9" t="s">
        <v>33</v>
      </c>
      <c r="K85" s="38">
        <v>2011</v>
      </c>
    </row>
    <row r="86" spans="1:11" s="6" customFormat="1" ht="15">
      <c r="A86" s="37">
        <v>36</v>
      </c>
      <c r="B86" s="9">
        <v>29.7</v>
      </c>
      <c r="C86" s="9">
        <v>0</v>
      </c>
      <c r="D86" s="9" t="s">
        <v>41</v>
      </c>
      <c r="E86" s="9">
        <v>2</v>
      </c>
      <c r="F86" s="9" t="s">
        <v>18</v>
      </c>
      <c r="G86" s="9">
        <v>65</v>
      </c>
      <c r="H86" s="9">
        <v>55</v>
      </c>
      <c r="I86" s="5" t="e">
        <f t="shared" si="3"/>
        <v>#VALUE!</v>
      </c>
      <c r="J86" s="9" t="s">
        <v>29</v>
      </c>
      <c r="K86" s="38" t="s">
        <v>30</v>
      </c>
    </row>
    <row r="87" spans="1:11" s="6" customFormat="1" ht="15">
      <c r="A87" s="37">
        <v>3</v>
      </c>
      <c r="B87" s="9">
        <v>119.1</v>
      </c>
      <c r="C87" s="9">
        <v>0</v>
      </c>
      <c r="D87" s="9" t="s">
        <v>41</v>
      </c>
      <c r="E87" s="9">
        <v>2</v>
      </c>
      <c r="F87" s="9" t="s">
        <v>18</v>
      </c>
      <c r="G87" s="9">
        <v>65</v>
      </c>
      <c r="H87" s="9">
        <v>55</v>
      </c>
      <c r="I87" s="5" t="e">
        <f t="shared" si="3"/>
        <v>#VALUE!</v>
      </c>
      <c r="J87" s="9" t="s">
        <v>29</v>
      </c>
      <c r="K87" s="38">
        <v>2007</v>
      </c>
    </row>
    <row r="88" spans="1:11" s="6" customFormat="1" ht="15">
      <c r="A88" s="37">
        <v>44</v>
      </c>
      <c r="B88" s="9">
        <v>68.8</v>
      </c>
      <c r="C88" s="9">
        <v>0</v>
      </c>
      <c r="D88" s="9" t="s">
        <v>41</v>
      </c>
      <c r="E88" s="9">
        <v>2</v>
      </c>
      <c r="F88" s="9" t="s">
        <v>32</v>
      </c>
      <c r="G88" s="9">
        <v>65</v>
      </c>
      <c r="H88" s="9">
        <v>55</v>
      </c>
      <c r="I88" s="5" t="e">
        <f t="shared" si="3"/>
        <v>#VALUE!</v>
      </c>
      <c r="J88" s="9" t="s">
        <v>33</v>
      </c>
      <c r="K88" s="38">
        <v>2013</v>
      </c>
    </row>
    <row r="89" spans="1:11" s="6" customFormat="1" ht="15">
      <c r="A89" s="37">
        <v>37</v>
      </c>
      <c r="B89" s="9">
        <f>76.7+66.5+12+10.2</f>
        <v>165.39999999999998</v>
      </c>
      <c r="C89" s="9">
        <v>0</v>
      </c>
      <c r="D89" s="9">
        <v>65</v>
      </c>
      <c r="E89" s="9">
        <v>2</v>
      </c>
      <c r="F89" s="9" t="s">
        <v>18</v>
      </c>
      <c r="G89" s="9">
        <v>65</v>
      </c>
      <c r="H89" s="9">
        <v>55</v>
      </c>
      <c r="I89" s="5">
        <f t="shared" si="3"/>
        <v>1.0976960351091756</v>
      </c>
      <c r="J89" s="9" t="s">
        <v>29</v>
      </c>
      <c r="K89" s="38" t="s">
        <v>30</v>
      </c>
    </row>
    <row r="90" spans="1:11" s="6" customFormat="1" ht="15">
      <c r="A90" s="37">
        <v>4</v>
      </c>
      <c r="B90" s="9">
        <v>70.1</v>
      </c>
      <c r="C90" s="9">
        <v>0</v>
      </c>
      <c r="D90" s="9" t="s">
        <v>42</v>
      </c>
      <c r="E90" s="9">
        <v>2</v>
      </c>
      <c r="F90" s="9" t="s">
        <v>18</v>
      </c>
      <c r="G90" s="9">
        <v>65</v>
      </c>
      <c r="H90" s="9">
        <v>55</v>
      </c>
      <c r="I90" s="5" t="e">
        <f t="shared" si="3"/>
        <v>#VALUE!</v>
      </c>
      <c r="J90" s="9" t="s">
        <v>29</v>
      </c>
      <c r="K90" s="38">
        <v>2007</v>
      </c>
    </row>
    <row r="91" spans="1:11" s="6" customFormat="1" ht="15">
      <c r="A91" s="37">
        <v>45</v>
      </c>
      <c r="B91" s="9">
        <f>491.7+67.3</f>
        <v>559</v>
      </c>
      <c r="C91" s="9">
        <v>0</v>
      </c>
      <c r="D91" s="9" t="s">
        <v>42</v>
      </c>
      <c r="E91" s="9">
        <v>2</v>
      </c>
      <c r="F91" s="9" t="s">
        <v>32</v>
      </c>
      <c r="G91" s="9">
        <v>65</v>
      </c>
      <c r="H91" s="9">
        <v>55</v>
      </c>
      <c r="I91" s="5" t="e">
        <f t="shared" si="3"/>
        <v>#VALUE!</v>
      </c>
      <c r="J91" s="9" t="s">
        <v>33</v>
      </c>
      <c r="K91" s="38">
        <v>2013</v>
      </c>
    </row>
    <row r="92" spans="1:11" s="6" customFormat="1" ht="15">
      <c r="A92" s="37">
        <v>38</v>
      </c>
      <c r="B92" s="9">
        <f>10.2+37.3+11.7+14+11+125.7+13.5+9.3+19.8+39.1+34.1+4+15.6</f>
        <v>345.30000000000007</v>
      </c>
      <c r="C92" s="9">
        <v>0</v>
      </c>
      <c r="D92" s="9">
        <v>50</v>
      </c>
      <c r="E92" s="9">
        <v>2</v>
      </c>
      <c r="F92" s="9" t="s">
        <v>18</v>
      </c>
      <c r="G92" s="9">
        <v>65</v>
      </c>
      <c r="H92" s="9">
        <v>55</v>
      </c>
      <c r="I92" s="5">
        <f t="shared" si="3"/>
        <v>1.355989929105695</v>
      </c>
      <c r="J92" s="9" t="s">
        <v>29</v>
      </c>
      <c r="K92" s="38" t="s">
        <v>30</v>
      </c>
    </row>
    <row r="93" spans="1:11" s="6" customFormat="1" ht="15">
      <c r="A93" s="37">
        <v>26</v>
      </c>
      <c r="B93" s="9">
        <f>86.1+64.2+35</f>
        <v>185.3</v>
      </c>
      <c r="C93" s="9">
        <v>0</v>
      </c>
      <c r="D93" s="9">
        <v>50</v>
      </c>
      <c r="E93" s="9">
        <v>2</v>
      </c>
      <c r="F93" s="9" t="s">
        <v>18</v>
      </c>
      <c r="G93" s="9">
        <v>65</v>
      </c>
      <c r="H93" s="9">
        <v>55</v>
      </c>
      <c r="I93" s="5">
        <f t="shared" si="3"/>
        <v>0.727671398387736</v>
      </c>
      <c r="J93" s="9" t="s">
        <v>29</v>
      </c>
      <c r="K93" s="38" t="s">
        <v>34</v>
      </c>
    </row>
    <row r="94" spans="1:11" s="6" customFormat="1" ht="15">
      <c r="A94" s="37">
        <v>6</v>
      </c>
      <c r="B94" s="9">
        <v>84.5</v>
      </c>
      <c r="C94" s="9">
        <v>0</v>
      </c>
      <c r="D94" s="9">
        <v>50</v>
      </c>
      <c r="E94" s="9">
        <v>2</v>
      </c>
      <c r="F94" s="9" t="s">
        <v>18</v>
      </c>
      <c r="G94" s="9">
        <v>65</v>
      </c>
      <c r="H94" s="9">
        <v>55</v>
      </c>
      <c r="I94" s="5">
        <f t="shared" si="3"/>
        <v>0.3318307240354219</v>
      </c>
      <c r="J94" s="9" t="s">
        <v>33</v>
      </c>
      <c r="K94" s="38">
        <v>2011</v>
      </c>
    </row>
    <row r="95" spans="1:11" s="6" customFormat="1" ht="15">
      <c r="A95" s="37">
        <v>46</v>
      </c>
      <c r="B95" s="9">
        <f>2+61.3</f>
        <v>63.3</v>
      </c>
      <c r="C95" s="9">
        <v>0</v>
      </c>
      <c r="D95" s="9" t="s">
        <v>43</v>
      </c>
      <c r="E95" s="9">
        <v>2</v>
      </c>
      <c r="F95" s="9" t="s">
        <v>32</v>
      </c>
      <c r="G95" s="9">
        <v>65</v>
      </c>
      <c r="H95" s="9">
        <v>55</v>
      </c>
      <c r="I95" s="5" t="e">
        <f t="shared" si="3"/>
        <v>#VALUE!</v>
      </c>
      <c r="J95" s="9" t="s">
        <v>33</v>
      </c>
      <c r="K95" s="38">
        <v>2013</v>
      </c>
    </row>
    <row r="96" spans="1:11" s="6" customFormat="1" ht="15">
      <c r="A96" s="37">
        <v>59</v>
      </c>
      <c r="B96" s="9">
        <v>70</v>
      </c>
      <c r="C96" s="9">
        <v>0</v>
      </c>
      <c r="D96" s="9" t="s">
        <v>43</v>
      </c>
      <c r="E96" s="9">
        <v>2</v>
      </c>
      <c r="F96" s="9" t="s">
        <v>18</v>
      </c>
      <c r="G96" s="9">
        <v>65</v>
      </c>
      <c r="H96" s="9">
        <v>55</v>
      </c>
      <c r="I96" s="5"/>
      <c r="J96" s="9" t="s">
        <v>29</v>
      </c>
      <c r="K96" s="38">
        <v>2007</v>
      </c>
    </row>
    <row r="97" spans="1:11" s="6" customFormat="1" ht="15">
      <c r="A97" s="37">
        <v>60</v>
      </c>
      <c r="B97" s="9">
        <v>15.1</v>
      </c>
      <c r="C97" s="9"/>
      <c r="D97" s="9" t="s">
        <v>43</v>
      </c>
      <c r="E97" s="9">
        <v>2</v>
      </c>
      <c r="F97" s="9" t="s">
        <v>18</v>
      </c>
      <c r="G97" s="9">
        <v>65</v>
      </c>
      <c r="H97" s="9">
        <v>55</v>
      </c>
      <c r="I97" s="5"/>
      <c r="J97" s="9" t="s">
        <v>29</v>
      </c>
      <c r="K97" s="38" t="s">
        <v>30</v>
      </c>
    </row>
    <row r="98" spans="1:11" s="6" customFormat="1" ht="15">
      <c r="A98" s="37">
        <v>53</v>
      </c>
      <c r="B98" s="9">
        <v>11.1</v>
      </c>
      <c r="C98" s="9">
        <v>0</v>
      </c>
      <c r="D98" s="9" t="s">
        <v>44</v>
      </c>
      <c r="E98" s="9">
        <v>2</v>
      </c>
      <c r="F98" s="9" t="s">
        <v>32</v>
      </c>
      <c r="G98" s="9">
        <v>65</v>
      </c>
      <c r="H98" s="9">
        <v>55</v>
      </c>
      <c r="I98" s="5" t="e">
        <f>(PI()*((D98/1000)^2)/4)*B98*E98</f>
        <v>#VALUE!</v>
      </c>
      <c r="J98" s="9" t="s">
        <v>33</v>
      </c>
      <c r="K98" s="38">
        <v>2013</v>
      </c>
    </row>
    <row r="99" spans="1:11" s="6" customFormat="1" ht="15">
      <c r="A99" s="37">
        <v>61</v>
      </c>
      <c r="B99" s="9">
        <f>10.5+6.6</f>
        <v>17.1</v>
      </c>
      <c r="C99" s="9"/>
      <c r="D99" s="9" t="s">
        <v>44</v>
      </c>
      <c r="E99" s="9">
        <v>2</v>
      </c>
      <c r="F99" s="9" t="s">
        <v>18</v>
      </c>
      <c r="G99" s="9">
        <v>65</v>
      </c>
      <c r="H99" s="9">
        <v>55</v>
      </c>
      <c r="I99" s="5"/>
      <c r="J99" s="9" t="s">
        <v>29</v>
      </c>
      <c r="K99" s="38" t="s">
        <v>30</v>
      </c>
    </row>
    <row r="100" spans="1:11" s="6" customFormat="1" ht="15">
      <c r="A100" s="37">
        <v>39</v>
      </c>
      <c r="B100" s="9">
        <f>9.4</f>
        <v>9.4</v>
      </c>
      <c r="C100" s="9">
        <v>0</v>
      </c>
      <c r="D100" s="9">
        <v>40</v>
      </c>
      <c r="E100" s="9">
        <v>2</v>
      </c>
      <c r="F100" s="9" t="s">
        <v>18</v>
      </c>
      <c r="G100" s="9">
        <v>65</v>
      </c>
      <c r="H100" s="9">
        <v>55</v>
      </c>
      <c r="I100" s="5">
        <f aca="true" t="shared" si="4" ref="I100:I114">(PI()*((D100/1000)^2)/4)*B100*E100</f>
        <v>0.023624776754995244</v>
      </c>
      <c r="J100" s="9" t="s">
        <v>29</v>
      </c>
      <c r="K100" s="38" t="s">
        <v>30</v>
      </c>
    </row>
    <row r="101" spans="1:11" s="6" customFormat="1" ht="15">
      <c r="A101" s="41">
        <v>27</v>
      </c>
      <c r="B101" s="9">
        <f>36.2+6.5</f>
        <v>42.7</v>
      </c>
      <c r="C101" s="42">
        <v>0</v>
      </c>
      <c r="D101" s="9">
        <v>40</v>
      </c>
      <c r="E101" s="9">
        <v>2</v>
      </c>
      <c r="F101" s="9" t="s">
        <v>18</v>
      </c>
      <c r="G101" s="9">
        <v>65</v>
      </c>
      <c r="H101" s="9">
        <v>55</v>
      </c>
      <c r="I101" s="5">
        <f t="shared" si="4"/>
        <v>0.10731680504662734</v>
      </c>
      <c r="J101" s="9" t="s">
        <v>29</v>
      </c>
      <c r="K101" s="38" t="s">
        <v>34</v>
      </c>
    </row>
    <row r="102" spans="1:11" s="6" customFormat="1" ht="15">
      <c r="A102" s="41">
        <v>7</v>
      </c>
      <c r="B102" s="9">
        <v>33.9</v>
      </c>
      <c r="C102" s="42">
        <v>0</v>
      </c>
      <c r="D102" s="42">
        <v>40</v>
      </c>
      <c r="E102" s="9">
        <v>2</v>
      </c>
      <c r="F102" s="9" t="s">
        <v>18</v>
      </c>
      <c r="G102" s="9">
        <v>65</v>
      </c>
      <c r="H102" s="9">
        <v>55</v>
      </c>
      <c r="I102" s="5">
        <f t="shared" si="4"/>
        <v>0.08519999276535518</v>
      </c>
      <c r="J102" s="9" t="s">
        <v>33</v>
      </c>
      <c r="K102" s="38">
        <v>2011</v>
      </c>
    </row>
    <row r="103" spans="1:11" s="6" customFormat="1" ht="15">
      <c r="A103" s="41">
        <v>9</v>
      </c>
      <c r="B103" s="9">
        <v>23.5</v>
      </c>
      <c r="C103" s="42">
        <v>0</v>
      </c>
      <c r="D103" s="42" t="s">
        <v>45</v>
      </c>
      <c r="E103" s="9">
        <v>2</v>
      </c>
      <c r="F103" s="9" t="s">
        <v>18</v>
      </c>
      <c r="G103" s="9">
        <v>65</v>
      </c>
      <c r="H103" s="9">
        <v>55</v>
      </c>
      <c r="I103" s="5" t="e">
        <f t="shared" si="4"/>
        <v>#VALUE!</v>
      </c>
      <c r="J103" s="9" t="s">
        <v>29</v>
      </c>
      <c r="K103" s="38">
        <v>2010</v>
      </c>
    </row>
    <row r="104" spans="1:11" s="6" customFormat="1" ht="15">
      <c r="A104" s="41">
        <v>47</v>
      </c>
      <c r="B104" s="9">
        <v>48</v>
      </c>
      <c r="C104" s="42">
        <v>0</v>
      </c>
      <c r="D104" s="42" t="s">
        <v>46</v>
      </c>
      <c r="E104" s="9">
        <v>2</v>
      </c>
      <c r="F104" s="9" t="s">
        <v>32</v>
      </c>
      <c r="G104" s="9">
        <v>65</v>
      </c>
      <c r="H104" s="9">
        <v>55</v>
      </c>
      <c r="I104" s="5" t="e">
        <f t="shared" si="4"/>
        <v>#VALUE!</v>
      </c>
      <c r="J104" s="9" t="s">
        <v>33</v>
      </c>
      <c r="K104" s="38">
        <v>2013</v>
      </c>
    </row>
    <row r="105" spans="1:11" s="6" customFormat="1" ht="15">
      <c r="A105" s="41">
        <v>52</v>
      </c>
      <c r="B105" s="9">
        <v>59</v>
      </c>
      <c r="C105" s="42">
        <v>0</v>
      </c>
      <c r="D105" s="42" t="s">
        <v>46</v>
      </c>
      <c r="E105" s="9">
        <v>2</v>
      </c>
      <c r="F105" s="9" t="s">
        <v>32</v>
      </c>
      <c r="G105" s="9">
        <v>65</v>
      </c>
      <c r="H105" s="9">
        <v>55</v>
      </c>
      <c r="I105" s="5" t="e">
        <f t="shared" si="4"/>
        <v>#VALUE!</v>
      </c>
      <c r="J105" s="9" t="s">
        <v>33</v>
      </c>
      <c r="K105" s="38">
        <v>2015</v>
      </c>
    </row>
    <row r="106" spans="1:11" s="6" customFormat="1" ht="15">
      <c r="A106" s="41">
        <v>55</v>
      </c>
      <c r="B106" s="9">
        <v>19.5</v>
      </c>
      <c r="C106" s="42">
        <v>0</v>
      </c>
      <c r="D106" s="42" t="s">
        <v>46</v>
      </c>
      <c r="E106" s="9">
        <v>2</v>
      </c>
      <c r="F106" s="9" t="s">
        <v>18</v>
      </c>
      <c r="G106" s="9">
        <v>65</v>
      </c>
      <c r="H106" s="9">
        <v>55</v>
      </c>
      <c r="I106" s="5" t="e">
        <f t="shared" si="4"/>
        <v>#VALUE!</v>
      </c>
      <c r="J106" s="9" t="s">
        <v>31</v>
      </c>
      <c r="K106" s="38">
        <v>2017</v>
      </c>
    </row>
    <row r="107" spans="1:11" s="6" customFormat="1" ht="15">
      <c r="A107" s="41">
        <v>40</v>
      </c>
      <c r="B107" s="9">
        <f>14.7+25.2+23.9+37.5</f>
        <v>101.3</v>
      </c>
      <c r="C107" s="42">
        <v>0</v>
      </c>
      <c r="D107" s="42">
        <v>32</v>
      </c>
      <c r="E107" s="9">
        <v>2</v>
      </c>
      <c r="F107" s="9" t="s">
        <v>18</v>
      </c>
      <c r="G107" s="9">
        <v>65</v>
      </c>
      <c r="H107" s="9">
        <v>55</v>
      </c>
      <c r="I107" s="5">
        <f t="shared" si="4"/>
        <v>0.16294058793402677</v>
      </c>
      <c r="J107" s="9" t="s">
        <v>29</v>
      </c>
      <c r="K107" s="38" t="s">
        <v>30</v>
      </c>
    </row>
    <row r="108" spans="1:11" s="6" customFormat="1" ht="15">
      <c r="A108" s="41">
        <v>28</v>
      </c>
      <c r="B108" s="9">
        <f>24.5</f>
        <v>24.5</v>
      </c>
      <c r="C108" s="42">
        <v>0</v>
      </c>
      <c r="D108" s="42">
        <v>32</v>
      </c>
      <c r="E108" s="9">
        <v>2</v>
      </c>
      <c r="F108" s="9" t="s">
        <v>18</v>
      </c>
      <c r="G108" s="9">
        <v>65</v>
      </c>
      <c r="H108" s="9">
        <v>55</v>
      </c>
      <c r="I108" s="5">
        <f t="shared" si="4"/>
        <v>0.039408138246630364</v>
      </c>
      <c r="J108" s="9" t="s">
        <v>29</v>
      </c>
      <c r="K108" s="38" t="s">
        <v>34</v>
      </c>
    </row>
    <row r="109" spans="1:11" s="6" customFormat="1" ht="15">
      <c r="A109" s="41">
        <v>8</v>
      </c>
      <c r="B109" s="9">
        <v>4</v>
      </c>
      <c r="C109" s="42">
        <v>0</v>
      </c>
      <c r="D109" s="42">
        <v>32</v>
      </c>
      <c r="E109" s="9">
        <v>2</v>
      </c>
      <c r="F109" s="9" t="s">
        <v>18</v>
      </c>
      <c r="G109" s="9">
        <v>65</v>
      </c>
      <c r="H109" s="9">
        <v>55</v>
      </c>
      <c r="I109" s="5">
        <f t="shared" si="4"/>
        <v>0.006433981754551896</v>
      </c>
      <c r="J109" s="9" t="s">
        <v>33</v>
      </c>
      <c r="K109" s="38">
        <v>2011</v>
      </c>
    </row>
    <row r="110" spans="1:11" s="6" customFormat="1" ht="15">
      <c r="A110" s="41">
        <v>51</v>
      </c>
      <c r="B110" s="9">
        <v>64.6</v>
      </c>
      <c r="C110" s="42">
        <v>0</v>
      </c>
      <c r="D110" s="42">
        <v>32</v>
      </c>
      <c r="E110" s="9">
        <v>2</v>
      </c>
      <c r="F110" s="9" t="s">
        <v>32</v>
      </c>
      <c r="G110" s="9">
        <v>65</v>
      </c>
      <c r="H110" s="9">
        <v>55</v>
      </c>
      <c r="I110" s="5">
        <f t="shared" si="4"/>
        <v>0.10390880533601311</v>
      </c>
      <c r="J110" s="9" t="s">
        <v>33</v>
      </c>
      <c r="K110" s="38">
        <v>2014</v>
      </c>
    </row>
    <row r="111" spans="1:11" s="6" customFormat="1" ht="15">
      <c r="A111" s="41">
        <v>48</v>
      </c>
      <c r="B111" s="9">
        <f>6.1</f>
        <v>6.1</v>
      </c>
      <c r="C111" s="42">
        <v>0</v>
      </c>
      <c r="D111" s="42" t="s">
        <v>47</v>
      </c>
      <c r="E111" s="9">
        <v>2</v>
      </c>
      <c r="F111" s="9" t="s">
        <v>32</v>
      </c>
      <c r="G111" s="9">
        <v>65</v>
      </c>
      <c r="H111" s="9">
        <v>55</v>
      </c>
      <c r="I111" s="5" t="e">
        <f t="shared" si="4"/>
        <v>#VALUE!</v>
      </c>
      <c r="J111" s="9" t="s">
        <v>33</v>
      </c>
      <c r="K111" s="38">
        <v>2013</v>
      </c>
    </row>
    <row r="112" spans="1:11" s="6" customFormat="1" ht="15">
      <c r="A112" s="41">
        <v>50</v>
      </c>
      <c r="B112" s="9">
        <v>80</v>
      </c>
      <c r="C112" s="42">
        <v>0</v>
      </c>
      <c r="D112" s="42" t="s">
        <v>47</v>
      </c>
      <c r="E112" s="9">
        <v>2</v>
      </c>
      <c r="F112" s="9" t="s">
        <v>32</v>
      </c>
      <c r="G112" s="9">
        <v>65</v>
      </c>
      <c r="H112" s="9">
        <v>55</v>
      </c>
      <c r="I112" s="5" t="e">
        <f t="shared" si="4"/>
        <v>#VALUE!</v>
      </c>
      <c r="J112" s="9" t="s">
        <v>33</v>
      </c>
      <c r="K112" s="38">
        <v>2014</v>
      </c>
    </row>
    <row r="113" spans="1:11" s="6" customFormat="1" ht="15">
      <c r="A113" s="41">
        <v>54</v>
      </c>
      <c r="B113" s="9">
        <v>7</v>
      </c>
      <c r="C113" s="42">
        <v>0</v>
      </c>
      <c r="D113" s="42" t="s">
        <v>48</v>
      </c>
      <c r="E113" s="9">
        <v>2</v>
      </c>
      <c r="F113" s="9" t="s">
        <v>18</v>
      </c>
      <c r="G113" s="9">
        <v>65</v>
      </c>
      <c r="H113" s="9">
        <v>55</v>
      </c>
      <c r="I113" s="5" t="e">
        <f t="shared" si="4"/>
        <v>#VALUE!</v>
      </c>
      <c r="J113" s="9" t="s">
        <v>29</v>
      </c>
      <c r="K113" s="38">
        <v>2015</v>
      </c>
    </row>
    <row r="114" spans="1:11" s="6" customFormat="1" ht="15">
      <c r="A114" s="41">
        <v>41</v>
      </c>
      <c r="B114" s="9">
        <f>3+23+30+5+5.8+27.5</f>
        <v>94.3</v>
      </c>
      <c r="C114" s="42">
        <v>0</v>
      </c>
      <c r="D114" s="42">
        <v>25</v>
      </c>
      <c r="E114" s="9">
        <v>2</v>
      </c>
      <c r="F114" s="9" t="s">
        <v>18</v>
      </c>
      <c r="G114" s="9">
        <v>65</v>
      </c>
      <c r="H114" s="9">
        <v>55</v>
      </c>
      <c r="I114" s="5">
        <f t="shared" si="4"/>
        <v>0.09257880851047422</v>
      </c>
      <c r="J114" s="9" t="s">
        <v>29</v>
      </c>
      <c r="K114" s="38" t="s">
        <v>30</v>
      </c>
    </row>
    <row r="115" spans="1:11" s="6" customFormat="1" ht="15">
      <c r="A115" s="41"/>
      <c r="B115" s="9">
        <v>55</v>
      </c>
      <c r="C115" s="42">
        <v>0</v>
      </c>
      <c r="D115" s="42" t="s">
        <v>49</v>
      </c>
      <c r="E115" s="9">
        <v>3</v>
      </c>
      <c r="F115" s="9" t="s">
        <v>18</v>
      </c>
      <c r="G115" s="9">
        <v>65</v>
      </c>
      <c r="H115" s="9">
        <v>55</v>
      </c>
      <c r="I115" s="5"/>
      <c r="J115" s="9" t="s">
        <v>31</v>
      </c>
      <c r="K115" s="38">
        <v>2019</v>
      </c>
    </row>
    <row r="116" spans="1:11" s="6" customFormat="1" ht="15.75" customHeight="1">
      <c r="A116" s="41">
        <v>42</v>
      </c>
      <c r="B116" s="9">
        <f>7.6+50+7.9+10+12.5+4+15.5</f>
        <v>107.5</v>
      </c>
      <c r="C116" s="42">
        <v>0</v>
      </c>
      <c r="D116" s="42">
        <v>20</v>
      </c>
      <c r="E116" s="9">
        <v>2</v>
      </c>
      <c r="F116" s="9" t="s">
        <v>18</v>
      </c>
      <c r="G116" s="9">
        <v>65</v>
      </c>
      <c r="H116" s="9">
        <v>55</v>
      </c>
      <c r="I116" s="5">
        <f>(PI()*((D116/1000)^2)/4)*B116*E116</f>
        <v>0.06754424205218056</v>
      </c>
      <c r="J116" s="9" t="s">
        <v>29</v>
      </c>
      <c r="K116" s="38" t="s">
        <v>30</v>
      </c>
    </row>
    <row r="117" spans="1:11" s="6" customFormat="1" ht="15.75" customHeight="1">
      <c r="A117" s="41">
        <v>29</v>
      </c>
      <c r="B117" s="9">
        <v>9.2</v>
      </c>
      <c r="C117" s="42">
        <v>0</v>
      </c>
      <c r="D117" s="42" t="s">
        <v>50</v>
      </c>
      <c r="E117" s="9">
        <v>2</v>
      </c>
      <c r="F117" s="9" t="s">
        <v>18</v>
      </c>
      <c r="G117" s="9">
        <v>65</v>
      </c>
      <c r="H117" s="9">
        <v>55</v>
      </c>
      <c r="I117" s="5" t="e">
        <f>(PI()*((D117/1000)^2)/4)*B117*E117</f>
        <v>#VALUE!</v>
      </c>
      <c r="J117" s="9" t="s">
        <v>29</v>
      </c>
      <c r="K117" s="43">
        <v>1992</v>
      </c>
    </row>
    <row r="118" spans="1:11" s="6" customFormat="1" ht="15">
      <c r="A118" s="41">
        <v>10</v>
      </c>
      <c r="B118" s="9">
        <v>3.5</v>
      </c>
      <c r="C118" s="42">
        <v>0</v>
      </c>
      <c r="D118" s="42">
        <v>20</v>
      </c>
      <c r="E118" s="9">
        <v>2</v>
      </c>
      <c r="F118" s="9" t="s">
        <v>32</v>
      </c>
      <c r="G118" s="9">
        <v>65</v>
      </c>
      <c r="H118" s="9">
        <v>55</v>
      </c>
      <c r="I118" s="5">
        <f>(PI()*((D118/1000)^2)/4)*B118*E118</f>
        <v>0.0021991148575128553</v>
      </c>
      <c r="J118" s="9" t="s">
        <v>29</v>
      </c>
      <c r="K118" s="43">
        <v>2017</v>
      </c>
    </row>
    <row r="119" spans="1:11" s="6" customFormat="1" ht="15">
      <c r="A119" s="41"/>
      <c r="B119" s="9">
        <v>27.2</v>
      </c>
      <c r="C119" s="42"/>
      <c r="D119" s="42">
        <v>20</v>
      </c>
      <c r="E119" s="9"/>
      <c r="F119" s="9" t="s">
        <v>18</v>
      </c>
      <c r="G119" s="9">
        <v>65</v>
      </c>
      <c r="H119" s="9">
        <v>55</v>
      </c>
      <c r="I119" s="5"/>
      <c r="J119" s="9" t="s">
        <v>31</v>
      </c>
      <c r="K119" s="38">
        <v>2019</v>
      </c>
    </row>
    <row r="120" spans="1:11" s="6" customFormat="1" ht="15">
      <c r="A120" s="37">
        <v>43</v>
      </c>
      <c r="B120" s="9">
        <f>18.4+6.2+20.2+24.9+25.5+40.4+16.5+21.6+17.3</f>
        <v>191</v>
      </c>
      <c r="C120" s="9">
        <v>0</v>
      </c>
      <c r="D120" s="9">
        <v>15</v>
      </c>
      <c r="E120" s="9">
        <v>2</v>
      </c>
      <c r="F120" s="9" t="s">
        <v>18</v>
      </c>
      <c r="G120" s="9">
        <v>65</v>
      </c>
      <c r="H120" s="9">
        <v>55</v>
      </c>
      <c r="I120" s="15">
        <f>(PI()*((D120/1000)^2)/4)*B120*E120</f>
        <v>0.06750497214401067</v>
      </c>
      <c r="J120" s="9" t="s">
        <v>29</v>
      </c>
      <c r="K120" s="38" t="s">
        <v>30</v>
      </c>
    </row>
    <row r="121" spans="1:11" s="6" customFormat="1" ht="15">
      <c r="A121" s="37">
        <v>30</v>
      </c>
      <c r="B121" s="9">
        <f>11+12.8</f>
        <v>23.8</v>
      </c>
      <c r="C121" s="9">
        <v>0</v>
      </c>
      <c r="D121" s="9">
        <v>15</v>
      </c>
      <c r="E121" s="9">
        <v>2</v>
      </c>
      <c r="F121" s="9" t="s">
        <v>18</v>
      </c>
      <c r="G121" s="9">
        <v>65</v>
      </c>
      <c r="H121" s="9">
        <v>55</v>
      </c>
      <c r="I121" s="15">
        <f>(PI()*((D121/1000)^2)/4)*B121*E121</f>
        <v>0.008411614329986671</v>
      </c>
      <c r="J121" s="9" t="s">
        <v>29</v>
      </c>
      <c r="K121" s="38" t="s">
        <v>34</v>
      </c>
    </row>
    <row r="122" spans="1:11" s="6" customFormat="1" ht="15">
      <c r="A122" s="37">
        <v>23</v>
      </c>
      <c r="B122" s="9">
        <v>8.5</v>
      </c>
      <c r="C122" s="9">
        <v>0</v>
      </c>
      <c r="D122" s="9">
        <v>15</v>
      </c>
      <c r="E122" s="9">
        <v>2</v>
      </c>
      <c r="F122" s="9" t="s">
        <v>18</v>
      </c>
      <c r="G122" s="9">
        <v>65</v>
      </c>
      <c r="H122" s="9">
        <v>55</v>
      </c>
      <c r="I122" s="15">
        <f>(PI()*((D122/1000)^2)/4)*B122*E122</f>
        <v>0.0030041479749952395</v>
      </c>
      <c r="J122" s="9" t="s">
        <v>29</v>
      </c>
      <c r="K122" s="38">
        <v>2003</v>
      </c>
    </row>
    <row r="123" spans="1:11" s="6" customFormat="1" ht="15">
      <c r="A123" s="37">
        <v>63</v>
      </c>
      <c r="B123" s="9">
        <v>8.4</v>
      </c>
      <c r="C123" s="9"/>
      <c r="D123" s="9">
        <v>15</v>
      </c>
      <c r="E123" s="9">
        <v>2</v>
      </c>
      <c r="F123" s="9" t="s">
        <v>18</v>
      </c>
      <c r="G123" s="9">
        <v>65</v>
      </c>
      <c r="H123" s="9">
        <v>55</v>
      </c>
      <c r="I123" s="15">
        <f>(PI()*((D123/1000)^2)/4)*B123*E123</f>
        <v>0.0029688050576423546</v>
      </c>
      <c r="J123" s="9" t="s">
        <v>31</v>
      </c>
      <c r="K123" s="38">
        <v>2017</v>
      </c>
    </row>
    <row r="124" spans="1:11" s="6" customFormat="1" ht="15.75">
      <c r="A124" s="85" t="s">
        <v>24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7"/>
    </row>
    <row r="125" spans="1:11" s="6" customFormat="1" ht="15.75">
      <c r="A125" s="50">
        <v>13</v>
      </c>
      <c r="B125" s="9">
        <v>110.6</v>
      </c>
      <c r="C125" s="9">
        <v>0</v>
      </c>
      <c r="D125" s="51">
        <v>200</v>
      </c>
      <c r="E125" s="9">
        <v>2</v>
      </c>
      <c r="F125" s="9" t="s">
        <v>21</v>
      </c>
      <c r="G125" s="9">
        <v>65</v>
      </c>
      <c r="H125" s="9">
        <v>55</v>
      </c>
      <c r="I125" s="5">
        <f>(PI()*((D125/1000)^2)/4)*B125*E125</f>
        <v>6.949202949740623</v>
      </c>
      <c r="J125" s="9" t="s">
        <v>29</v>
      </c>
      <c r="K125" s="38">
        <v>2012</v>
      </c>
    </row>
    <row r="126" spans="1:11" s="6" customFormat="1" ht="15">
      <c r="A126" s="37">
        <v>12</v>
      </c>
      <c r="B126" s="9">
        <v>127.2</v>
      </c>
      <c r="C126" s="9">
        <v>0</v>
      </c>
      <c r="D126" s="9">
        <v>150</v>
      </c>
      <c r="E126" s="9">
        <v>2</v>
      </c>
      <c r="F126" s="9" t="s">
        <v>21</v>
      </c>
      <c r="G126" s="9">
        <v>65</v>
      </c>
      <c r="H126" s="9">
        <v>55</v>
      </c>
      <c r="I126" s="5">
        <f aca="true" t="shared" si="5" ref="I126:I143">(PI()*((D126/1000)^2)/4)*B126*E126</f>
        <v>4.495619087286994</v>
      </c>
      <c r="J126" s="9" t="s">
        <v>29</v>
      </c>
      <c r="K126" s="38">
        <v>2006</v>
      </c>
    </row>
    <row r="127" spans="1:11" s="6" customFormat="1" ht="15">
      <c r="A127" s="37">
        <v>24</v>
      </c>
      <c r="B127" s="9">
        <v>252.3</v>
      </c>
      <c r="C127" s="9">
        <v>0</v>
      </c>
      <c r="D127" s="9" t="s">
        <v>38</v>
      </c>
      <c r="E127" s="9">
        <v>2</v>
      </c>
      <c r="F127" s="9" t="s">
        <v>21</v>
      </c>
      <c r="G127" s="9">
        <v>65</v>
      </c>
      <c r="H127" s="9">
        <v>55</v>
      </c>
      <c r="I127" s="5" t="e">
        <f t="shared" si="5"/>
        <v>#VALUE!</v>
      </c>
      <c r="J127" s="9" t="s">
        <v>29</v>
      </c>
      <c r="K127" s="38">
        <v>2002</v>
      </c>
    </row>
    <row r="128" spans="1:11" s="6" customFormat="1" ht="15">
      <c r="A128" s="37">
        <v>31</v>
      </c>
      <c r="B128" s="9">
        <f>318+158.6+63.7</f>
        <v>540.3000000000001</v>
      </c>
      <c r="C128" s="9">
        <v>0</v>
      </c>
      <c r="D128" s="9" t="s">
        <v>38</v>
      </c>
      <c r="E128" s="9">
        <v>2</v>
      </c>
      <c r="F128" s="9" t="s">
        <v>21</v>
      </c>
      <c r="G128" s="9">
        <v>65</v>
      </c>
      <c r="H128" s="9">
        <v>55</v>
      </c>
      <c r="I128" s="5" t="e">
        <f t="shared" si="5"/>
        <v>#VALUE!</v>
      </c>
      <c r="J128" s="9" t="s">
        <v>29</v>
      </c>
      <c r="K128" s="38">
        <v>1992</v>
      </c>
    </row>
    <row r="129" spans="1:11" s="30" customFormat="1" ht="15.75">
      <c r="A129" s="37">
        <v>32</v>
      </c>
      <c r="B129" s="9">
        <v>78.2</v>
      </c>
      <c r="C129" s="9">
        <v>0</v>
      </c>
      <c r="D129" s="9" t="s">
        <v>37</v>
      </c>
      <c r="E129" s="9">
        <v>2</v>
      </c>
      <c r="F129" s="9" t="s">
        <v>21</v>
      </c>
      <c r="G129" s="9">
        <v>65</v>
      </c>
      <c r="H129" s="9">
        <v>55</v>
      </c>
      <c r="I129" s="15" t="e">
        <f t="shared" si="5"/>
        <v>#VALUE!</v>
      </c>
      <c r="J129" s="9" t="s">
        <v>29</v>
      </c>
      <c r="K129" s="38">
        <v>1992</v>
      </c>
    </row>
    <row r="130" spans="1:11" s="6" customFormat="1" ht="15">
      <c r="A130" s="37">
        <v>58</v>
      </c>
      <c r="B130" s="9">
        <v>11</v>
      </c>
      <c r="C130" s="9">
        <v>0</v>
      </c>
      <c r="D130" s="9" t="s">
        <v>39</v>
      </c>
      <c r="E130" s="9">
        <v>2</v>
      </c>
      <c r="F130" s="9" t="s">
        <v>21</v>
      </c>
      <c r="G130" s="9">
        <v>65</v>
      </c>
      <c r="H130" s="9">
        <v>55</v>
      </c>
      <c r="I130" s="5" t="e">
        <f t="shared" si="5"/>
        <v>#VALUE!</v>
      </c>
      <c r="J130" s="9" t="s">
        <v>29</v>
      </c>
      <c r="K130" s="38">
        <v>2018</v>
      </c>
    </row>
    <row r="131" spans="1:11" s="30" customFormat="1" ht="15.75">
      <c r="A131" s="37">
        <v>25</v>
      </c>
      <c r="B131" s="9">
        <f>70+50+40+21.3+14</f>
        <v>195.3</v>
      </c>
      <c r="C131" s="9">
        <v>0</v>
      </c>
      <c r="D131" s="9" t="s">
        <v>51</v>
      </c>
      <c r="E131" s="9">
        <v>2</v>
      </c>
      <c r="F131" s="9" t="s">
        <v>21</v>
      </c>
      <c r="G131" s="9">
        <v>65</v>
      </c>
      <c r="H131" s="9">
        <v>55</v>
      </c>
      <c r="I131" s="15" t="e">
        <f t="shared" si="5"/>
        <v>#VALUE!</v>
      </c>
      <c r="J131" s="9" t="s">
        <v>29</v>
      </c>
      <c r="K131" s="38">
        <v>2002</v>
      </c>
    </row>
    <row r="132" spans="1:11" s="30" customFormat="1" ht="15.75">
      <c r="A132" s="37">
        <v>14</v>
      </c>
      <c r="B132" s="9">
        <f>59.2</f>
        <v>59.2</v>
      </c>
      <c r="C132" s="9">
        <v>0</v>
      </c>
      <c r="D132" s="9" t="s">
        <v>40</v>
      </c>
      <c r="E132" s="9">
        <v>2</v>
      </c>
      <c r="F132" s="9" t="s">
        <v>21</v>
      </c>
      <c r="G132" s="9">
        <v>65</v>
      </c>
      <c r="H132" s="9">
        <v>55</v>
      </c>
      <c r="I132" s="15" t="e">
        <f>(PI()*((D132/1000)^2)/4)*B132*E132</f>
        <v>#VALUE!</v>
      </c>
      <c r="J132" s="9" t="s">
        <v>31</v>
      </c>
      <c r="K132" s="38">
        <v>2011</v>
      </c>
    </row>
    <row r="133" spans="1:11" s="30" customFormat="1" ht="19.5" customHeight="1">
      <c r="A133" s="37">
        <v>49</v>
      </c>
      <c r="B133" s="9">
        <v>48.4</v>
      </c>
      <c r="C133" s="9">
        <v>0</v>
      </c>
      <c r="D133" s="9" t="s">
        <v>42</v>
      </c>
      <c r="E133" s="9">
        <v>2</v>
      </c>
      <c r="F133" s="9" t="s">
        <v>21</v>
      </c>
      <c r="G133" s="9">
        <v>65</v>
      </c>
      <c r="H133" s="9">
        <v>55</v>
      </c>
      <c r="I133" s="15" t="e">
        <f>(PI()*((D133/1000)^2)/4)*B133*E133</f>
        <v>#VALUE!</v>
      </c>
      <c r="J133" s="9" t="s">
        <v>33</v>
      </c>
      <c r="K133" s="38">
        <v>2013</v>
      </c>
    </row>
    <row r="134" spans="1:59" ht="18" customHeight="1">
      <c r="A134" s="37">
        <v>15</v>
      </c>
      <c r="B134" s="9">
        <v>120</v>
      </c>
      <c r="C134" s="9">
        <v>0</v>
      </c>
      <c r="D134" s="9">
        <v>50</v>
      </c>
      <c r="E134" s="9">
        <v>2</v>
      </c>
      <c r="F134" s="9" t="s">
        <v>21</v>
      </c>
      <c r="G134" s="9">
        <v>65</v>
      </c>
      <c r="H134" s="9">
        <v>55</v>
      </c>
      <c r="I134" s="15">
        <f t="shared" si="5"/>
        <v>0.471238898038469</v>
      </c>
      <c r="J134" s="9" t="s">
        <v>33</v>
      </c>
      <c r="K134" s="38">
        <v>2011</v>
      </c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</row>
    <row r="135" spans="1:59" ht="18" customHeight="1">
      <c r="A135" s="37">
        <v>16</v>
      </c>
      <c r="B135" s="9">
        <f>55.8+141.5</f>
        <v>197.3</v>
      </c>
      <c r="C135" s="9">
        <v>0</v>
      </c>
      <c r="D135" s="9">
        <v>50</v>
      </c>
      <c r="E135" s="9">
        <v>2</v>
      </c>
      <c r="F135" s="9" t="s">
        <v>21</v>
      </c>
      <c r="G135" s="9">
        <v>65</v>
      </c>
      <c r="H135" s="9">
        <v>55</v>
      </c>
      <c r="I135" s="15"/>
      <c r="J135" s="9" t="s">
        <v>31</v>
      </c>
      <c r="K135" s="38">
        <v>2006</v>
      </c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</row>
    <row r="136" spans="1:59" ht="18" customHeight="1">
      <c r="A136" s="37">
        <v>18</v>
      </c>
      <c r="B136" s="9">
        <v>17</v>
      </c>
      <c r="C136" s="9">
        <v>0</v>
      </c>
      <c r="D136" s="9" t="s">
        <v>46</v>
      </c>
      <c r="E136" s="9">
        <v>2</v>
      </c>
      <c r="F136" s="9" t="s">
        <v>21</v>
      </c>
      <c r="G136" s="9">
        <v>65</v>
      </c>
      <c r="H136" s="9">
        <v>55</v>
      </c>
      <c r="I136" s="15" t="e">
        <f>(PI()*((D136/1000)^2)/4)*B136*E136</f>
        <v>#VALUE!</v>
      </c>
      <c r="J136" s="9" t="s">
        <v>31</v>
      </c>
      <c r="K136" s="38">
        <v>2012</v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1:11" s="6" customFormat="1" ht="15">
      <c r="A137" s="41">
        <v>56</v>
      </c>
      <c r="B137" s="9">
        <v>2.5</v>
      </c>
      <c r="C137" s="42">
        <v>0</v>
      </c>
      <c r="D137" s="42" t="s">
        <v>46</v>
      </c>
      <c r="E137" s="9">
        <v>2</v>
      </c>
      <c r="F137" s="9" t="s">
        <v>21</v>
      </c>
      <c r="G137" s="9">
        <v>65</v>
      </c>
      <c r="H137" s="9">
        <v>55</v>
      </c>
      <c r="I137" s="5" t="e">
        <f>(PI()*((D137/1000)^2)/4)*B137*E137</f>
        <v>#VALUE!</v>
      </c>
      <c r="J137" s="9" t="s">
        <v>31</v>
      </c>
      <c r="K137" s="38">
        <v>2017</v>
      </c>
    </row>
    <row r="138" spans="1:23" s="30" customFormat="1" ht="17.25" customHeight="1">
      <c r="A138" s="37">
        <v>17</v>
      </c>
      <c r="B138" s="9">
        <v>93.8</v>
      </c>
      <c r="C138" s="9">
        <v>0</v>
      </c>
      <c r="D138" s="9" t="s">
        <v>45</v>
      </c>
      <c r="E138" s="9">
        <v>2</v>
      </c>
      <c r="F138" s="9" t="s">
        <v>21</v>
      </c>
      <c r="G138" s="9">
        <v>65</v>
      </c>
      <c r="H138" s="9">
        <v>55</v>
      </c>
      <c r="I138" s="15" t="e">
        <f>(PI()*((D138/1000)^2)/4)*B138*E138</f>
        <v>#VALUE!</v>
      </c>
      <c r="J138" s="9" t="s">
        <v>29</v>
      </c>
      <c r="K138" s="38">
        <v>2006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11" s="30" customFormat="1" ht="15.75">
      <c r="A139" s="37">
        <v>19</v>
      </c>
      <c r="B139" s="9">
        <f>13.9+78</f>
        <v>91.9</v>
      </c>
      <c r="C139" s="9">
        <v>0</v>
      </c>
      <c r="D139" s="9" t="s">
        <v>49</v>
      </c>
      <c r="E139" s="9">
        <v>2</v>
      </c>
      <c r="F139" s="9" t="s">
        <v>21</v>
      </c>
      <c r="G139" s="9">
        <v>65</v>
      </c>
      <c r="H139" s="9">
        <v>55</v>
      </c>
      <c r="I139" s="15" t="e">
        <f>(PI()*((D139/1000)^2)/4)*B139*E139</f>
        <v>#VALUE!</v>
      </c>
      <c r="J139" s="9" t="s">
        <v>31</v>
      </c>
      <c r="K139" s="38">
        <v>2012</v>
      </c>
    </row>
    <row r="140" spans="1:11" s="30" customFormat="1" ht="15.75" customHeight="1">
      <c r="A140" s="37">
        <v>20</v>
      </c>
      <c r="B140" s="9">
        <v>69.5</v>
      </c>
      <c r="C140" s="9">
        <v>0</v>
      </c>
      <c r="D140" s="9">
        <v>20</v>
      </c>
      <c r="E140" s="9">
        <v>2</v>
      </c>
      <c r="F140" s="9" t="s">
        <v>21</v>
      </c>
      <c r="G140" s="9">
        <v>65</v>
      </c>
      <c r="H140" s="9">
        <v>55</v>
      </c>
      <c r="I140" s="15">
        <f t="shared" si="5"/>
        <v>0.04366813788489812</v>
      </c>
      <c r="J140" s="9" t="s">
        <v>31</v>
      </c>
      <c r="K140" s="38">
        <v>2007</v>
      </c>
    </row>
    <row r="141" spans="1:11" s="30" customFormat="1" ht="15.75" customHeight="1">
      <c r="A141" s="37"/>
      <c r="B141" s="9">
        <v>11.3</v>
      </c>
      <c r="C141" s="9">
        <v>0</v>
      </c>
      <c r="D141" s="9" t="s">
        <v>50</v>
      </c>
      <c r="E141" s="9">
        <v>3</v>
      </c>
      <c r="F141" s="9" t="s">
        <v>21</v>
      </c>
      <c r="G141" s="9">
        <v>65</v>
      </c>
      <c r="H141" s="9">
        <v>55</v>
      </c>
      <c r="I141" s="15" t="e">
        <f>(PI()*((D141/1000)^2)/4)*B141*E141</f>
        <v>#VALUE!</v>
      </c>
      <c r="J141" s="9" t="s">
        <v>31</v>
      </c>
      <c r="K141" s="38">
        <v>2019</v>
      </c>
    </row>
    <row r="142" spans="1:11" s="30" customFormat="1" ht="15.75" customHeight="1">
      <c r="A142" s="37">
        <v>62</v>
      </c>
      <c r="B142" s="9">
        <v>9</v>
      </c>
      <c r="C142" s="9">
        <v>0</v>
      </c>
      <c r="D142" s="9">
        <v>15</v>
      </c>
      <c r="E142" s="9">
        <v>2</v>
      </c>
      <c r="F142" s="9" t="s">
        <v>21</v>
      </c>
      <c r="G142" s="9">
        <v>65</v>
      </c>
      <c r="H142" s="9">
        <v>55</v>
      </c>
      <c r="I142" s="15">
        <f>(PI()*((D142/1000)^2)/4)*B142*E142</f>
        <v>0.0031808625617596653</v>
      </c>
      <c r="J142" s="9" t="s">
        <v>31</v>
      </c>
      <c r="K142" s="38">
        <v>2018</v>
      </c>
    </row>
    <row r="143" spans="1:11" ht="15.75" thickBot="1">
      <c r="A143" s="52">
        <v>21</v>
      </c>
      <c r="B143" s="53">
        <f>10.4+50+19</f>
        <v>79.4</v>
      </c>
      <c r="C143" s="54">
        <v>0</v>
      </c>
      <c r="D143" s="54">
        <v>15</v>
      </c>
      <c r="E143" s="53">
        <v>2</v>
      </c>
      <c r="F143" s="53" t="s">
        <v>21</v>
      </c>
      <c r="G143" s="53">
        <v>65</v>
      </c>
      <c r="H143" s="53">
        <v>55</v>
      </c>
      <c r="I143" s="5">
        <f t="shared" si="5"/>
        <v>0.028062276378190826</v>
      </c>
      <c r="J143" s="53" t="s">
        <v>31</v>
      </c>
      <c r="K143" s="55">
        <v>2007</v>
      </c>
    </row>
    <row r="144" spans="1:11" ht="15" thickBot="1">
      <c r="A144" s="23" t="s">
        <v>22</v>
      </c>
      <c r="B144" s="24">
        <f>SUM(B79:B143)</f>
        <v>5563.199999999999</v>
      </c>
      <c r="C144" s="24">
        <f>SUM(C79:C143)</f>
        <v>0</v>
      </c>
      <c r="D144" s="24"/>
      <c r="E144" s="24"/>
      <c r="F144" s="24"/>
      <c r="G144" s="24"/>
      <c r="H144" s="24"/>
      <c r="I144" s="25" t="e">
        <f>SUM(I79:I143)</f>
        <v>#VALUE!</v>
      </c>
      <c r="J144" s="24" t="s">
        <v>52</v>
      </c>
      <c r="K144" s="26"/>
    </row>
    <row r="145" ht="12.75">
      <c r="B145" s="56">
        <f>B77+B144</f>
        <v>11329.999999999996</v>
      </c>
    </row>
    <row r="146" spans="1:11" ht="12.75">
      <c r="A146" s="88" t="s">
        <v>53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</row>
    <row r="147" spans="1:11" ht="24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</row>
    <row r="148" spans="1:11" ht="29.25" customHeight="1">
      <c r="A148" s="89" t="s">
        <v>26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1:11" ht="25.5" customHeight="1">
      <c r="A149" s="117" t="s">
        <v>54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2" spans="1:4" ht="12.75">
      <c r="A152" s="57"/>
      <c r="B152" s="58"/>
      <c r="C152" s="58"/>
      <c r="D152" s="58"/>
    </row>
    <row r="153" spans="1:4" ht="12.75">
      <c r="A153" s="57"/>
      <c r="B153" s="59"/>
      <c r="C153" s="60"/>
      <c r="D153" s="59"/>
    </row>
  </sheetData>
  <sheetProtection/>
  <mergeCells count="24">
    <mergeCell ref="J1:K1"/>
    <mergeCell ref="A2:K2"/>
    <mergeCell ref="A3:K3"/>
    <mergeCell ref="A5:F5"/>
    <mergeCell ref="G5:K5"/>
    <mergeCell ref="A7:A9"/>
    <mergeCell ref="B7:B9"/>
    <mergeCell ref="C7:C9"/>
    <mergeCell ref="D7:D9"/>
    <mergeCell ref="E7:E9"/>
    <mergeCell ref="F7:F9"/>
    <mergeCell ref="G7:H7"/>
    <mergeCell ref="I7:I9"/>
    <mergeCell ref="J7:J9"/>
    <mergeCell ref="K7:K9"/>
    <mergeCell ref="G8:G9"/>
    <mergeCell ref="H8:H9"/>
    <mergeCell ref="A10:K10"/>
    <mergeCell ref="A55:K55"/>
    <mergeCell ref="A78:K78"/>
    <mergeCell ref="A124:K124"/>
    <mergeCell ref="A146:K147"/>
    <mergeCell ref="A148:K148"/>
    <mergeCell ref="A149:K149"/>
  </mergeCells>
  <printOptions horizontalCentered="1" verticalCentered="1"/>
  <pageMargins left="0.5905511811023623" right="0.35433070866141736" top="0.3937007874015748" bottom="0.4330708661417323" header="0.1968503937007874" footer="0.2755905511811024"/>
  <pageSetup horizontalDpi="600" verticalDpi="600" orientation="landscape" paperSize="9" scale="75" r:id="rId5"/>
  <headerFooter alignWithMargins="0">
    <oddFooter>&amp;CСтраница &amp;P из &amp;N</oddFooter>
  </headerFooter>
  <rowBreaks count="3" manualBreakCount="3">
    <brk id="34" max="10" man="1"/>
    <brk id="77" max="10" man="1"/>
    <brk id="123" max="10" man="1"/>
  </rowBreaks>
  <legacyDrawing r:id="rId4"/>
  <oleObjects>
    <oleObject progId="Equation.3" shapeId="1796365" r:id="rId2"/>
    <oleObject progId="Equation.3" shapeId="179636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G48"/>
  <sheetViews>
    <sheetView view="pageBreakPreview" zoomScale="75" zoomScaleSheetLayoutView="75" zoomScalePageLayoutView="0" workbookViewId="0" topLeftCell="A1">
      <selection activeCell="S19" sqref="S19"/>
    </sheetView>
  </sheetViews>
  <sheetFormatPr defaultColWidth="9.00390625" defaultRowHeight="12.75"/>
  <cols>
    <col min="1" max="1" width="16.00390625" style="0" customWidth="1"/>
    <col min="2" max="2" width="15.875" style="0" customWidth="1"/>
    <col min="3" max="3" width="15.125" style="0" customWidth="1"/>
    <col min="4" max="4" width="11.625" style="0" customWidth="1"/>
    <col min="5" max="5" width="14.00390625" style="0" customWidth="1"/>
    <col min="6" max="6" width="15.125" style="0" customWidth="1"/>
    <col min="7" max="7" width="10.875" style="0" customWidth="1"/>
    <col min="8" max="8" width="10.625" style="0" customWidth="1"/>
    <col min="9" max="9" width="11.125" style="0" hidden="1" customWidth="1"/>
    <col min="10" max="10" width="14.50390625" style="1" customWidth="1"/>
    <col min="11" max="11" width="20.00390625" style="1" customWidth="1"/>
  </cols>
  <sheetData>
    <row r="1" spans="10:11" ht="15.75">
      <c r="J1" s="100" t="s">
        <v>0</v>
      </c>
      <c r="K1" s="100"/>
    </row>
    <row r="2" spans="1:11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0" t="s">
        <v>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Bot="1">
      <c r="A5" s="101" t="s">
        <v>3</v>
      </c>
      <c r="B5" s="102"/>
      <c r="C5" s="102"/>
      <c r="D5" s="102"/>
      <c r="E5" s="102"/>
      <c r="F5" s="102"/>
      <c r="G5" s="102" t="s">
        <v>56</v>
      </c>
      <c r="H5" s="102"/>
      <c r="I5" s="102"/>
      <c r="J5" s="102"/>
      <c r="K5" s="120"/>
    </row>
    <row r="6" ht="13.5" thickBot="1"/>
    <row r="7" spans="1:11" ht="51" customHeight="1">
      <c r="A7" s="105" t="s">
        <v>5</v>
      </c>
      <c r="B7" s="108" t="s">
        <v>6</v>
      </c>
      <c r="C7" s="90" t="s">
        <v>7</v>
      </c>
      <c r="D7" s="108" t="s">
        <v>8</v>
      </c>
      <c r="E7" s="90" t="s">
        <v>9</v>
      </c>
      <c r="F7" s="90" t="s">
        <v>10</v>
      </c>
      <c r="G7" s="108" t="s">
        <v>11</v>
      </c>
      <c r="H7" s="111"/>
      <c r="I7" s="90" t="s">
        <v>12</v>
      </c>
      <c r="J7" s="90" t="s">
        <v>13</v>
      </c>
      <c r="K7" s="93" t="s">
        <v>14</v>
      </c>
    </row>
    <row r="8" spans="1:11" ht="38.25" customHeight="1">
      <c r="A8" s="106"/>
      <c r="B8" s="109"/>
      <c r="C8" s="91"/>
      <c r="D8" s="109"/>
      <c r="E8" s="91"/>
      <c r="F8" s="91"/>
      <c r="G8" s="96" t="s">
        <v>15</v>
      </c>
      <c r="H8" s="96" t="s">
        <v>16</v>
      </c>
      <c r="I8" s="91"/>
      <c r="J8" s="91"/>
      <c r="K8" s="94"/>
    </row>
    <row r="9" spans="1:11" ht="13.5" thickBot="1">
      <c r="A9" s="107"/>
      <c r="B9" s="110"/>
      <c r="C9" s="92"/>
      <c r="D9" s="110"/>
      <c r="E9" s="92"/>
      <c r="F9" s="92"/>
      <c r="G9" s="92"/>
      <c r="H9" s="92"/>
      <c r="I9" s="92"/>
      <c r="J9" s="92"/>
      <c r="K9" s="95"/>
    </row>
    <row r="10" spans="1:11" ht="15.75" customHeight="1">
      <c r="A10" s="97" t="s">
        <v>17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s="6" customFormat="1" ht="15">
      <c r="A11" s="3">
        <v>14</v>
      </c>
      <c r="B11" s="61">
        <f>22.4+64.6</f>
        <v>87</v>
      </c>
      <c r="C11" s="4">
        <v>0</v>
      </c>
      <c r="D11" s="4">
        <v>65</v>
      </c>
      <c r="E11" s="4">
        <v>2</v>
      </c>
      <c r="F11" s="4" t="s">
        <v>18</v>
      </c>
      <c r="G11" s="4">
        <v>55.3</v>
      </c>
      <c r="H11" s="4">
        <v>45.3</v>
      </c>
      <c r="I11" s="5">
        <f>(PI()*((D11/1000)^2)/4)*B11*E11</f>
        <v>0.5773854598216343</v>
      </c>
      <c r="J11" s="4" t="s">
        <v>29</v>
      </c>
      <c r="K11" s="22">
        <v>1980</v>
      </c>
    </row>
    <row r="12" spans="1:11" s="6" customFormat="1" ht="15">
      <c r="A12" s="37">
        <v>15</v>
      </c>
      <c r="B12" s="9">
        <v>177.8</v>
      </c>
      <c r="C12" s="9">
        <v>1</v>
      </c>
      <c r="D12" s="9">
        <v>50</v>
      </c>
      <c r="E12" s="9">
        <v>2</v>
      </c>
      <c r="F12" s="9" t="s">
        <v>18</v>
      </c>
      <c r="G12" s="9">
        <v>55.3</v>
      </c>
      <c r="H12" s="9">
        <v>45.3</v>
      </c>
      <c r="I12" s="5">
        <f>(PI()*((D12/1000)^2)/4)*B12*E12</f>
        <v>0.6982189672603316</v>
      </c>
      <c r="J12" s="9" t="s">
        <v>29</v>
      </c>
      <c r="K12" s="38">
        <v>1980</v>
      </c>
    </row>
    <row r="13" spans="1:11" s="6" customFormat="1" ht="15">
      <c r="A13" s="3">
        <v>16</v>
      </c>
      <c r="B13" s="4">
        <v>89.4</v>
      </c>
      <c r="C13" s="4">
        <v>0</v>
      </c>
      <c r="D13" s="4">
        <v>40</v>
      </c>
      <c r="E13" s="4">
        <v>2</v>
      </c>
      <c r="F13" s="4" t="s">
        <v>18</v>
      </c>
      <c r="G13" s="4">
        <v>55.3</v>
      </c>
      <c r="H13" s="4">
        <v>45.3</v>
      </c>
      <c r="I13" s="5">
        <f>(PI()*((D13/1000)^2)/4)*B13*E13</f>
        <v>0.22468670658474202</v>
      </c>
      <c r="J13" s="4" t="s">
        <v>29</v>
      </c>
      <c r="K13" s="22">
        <v>1980</v>
      </c>
    </row>
    <row r="14" spans="1:11" s="6" customFormat="1" ht="15">
      <c r="A14" s="37">
        <v>17</v>
      </c>
      <c r="B14" s="9">
        <v>107.8</v>
      </c>
      <c r="C14" s="9">
        <v>0</v>
      </c>
      <c r="D14" s="9">
        <v>32</v>
      </c>
      <c r="E14" s="9">
        <v>2</v>
      </c>
      <c r="F14" s="9" t="s">
        <v>18</v>
      </c>
      <c r="G14" s="9">
        <v>55.3</v>
      </c>
      <c r="H14" s="9">
        <v>45.3</v>
      </c>
      <c r="I14" s="5">
        <f>(PI()*((D14/1000)^2)/4)*B14*E14</f>
        <v>0.1733958082851736</v>
      </c>
      <c r="J14" s="9" t="s">
        <v>29</v>
      </c>
      <c r="K14" s="38">
        <v>1980</v>
      </c>
    </row>
    <row r="15" spans="1:11" s="6" customFormat="1" ht="15">
      <c r="A15" s="4"/>
      <c r="B15" s="4"/>
      <c r="C15" s="4"/>
      <c r="D15" s="4"/>
      <c r="E15" s="4"/>
      <c r="F15" s="4"/>
      <c r="G15" s="4"/>
      <c r="H15" s="4"/>
      <c r="I15" s="15"/>
      <c r="J15" s="4"/>
      <c r="K15" s="4"/>
    </row>
    <row r="16" spans="1:11" s="6" customFormat="1" ht="15.75">
      <c r="A16" s="85" t="s">
        <v>20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6" customFormat="1" ht="15">
      <c r="A17" s="4">
        <v>7</v>
      </c>
      <c r="B17" s="4">
        <v>75.2</v>
      </c>
      <c r="C17" s="4">
        <v>0</v>
      </c>
      <c r="D17" s="4">
        <v>125</v>
      </c>
      <c r="E17" s="4">
        <v>2</v>
      </c>
      <c r="F17" s="4" t="s">
        <v>21</v>
      </c>
      <c r="G17" s="4">
        <v>55.3</v>
      </c>
      <c r="H17" s="4">
        <v>45.3</v>
      </c>
      <c r="I17" s="15">
        <f aca="true" t="shared" si="0" ref="I17:I33">(PI()*((D17/1000)^2)/4)*B17*E17</f>
        <v>1.8456856839840035</v>
      </c>
      <c r="J17" s="4" t="s">
        <v>29</v>
      </c>
      <c r="K17" s="22">
        <v>2007</v>
      </c>
    </row>
    <row r="18" spans="1:11" s="6" customFormat="1" ht="15">
      <c r="A18" s="4">
        <v>1</v>
      </c>
      <c r="B18" s="4">
        <v>67.6</v>
      </c>
      <c r="C18" s="4">
        <v>0</v>
      </c>
      <c r="D18" s="4">
        <v>150</v>
      </c>
      <c r="E18" s="4">
        <v>2</v>
      </c>
      <c r="F18" s="4" t="s">
        <v>21</v>
      </c>
      <c r="G18" s="4">
        <v>55.3</v>
      </c>
      <c r="H18" s="4">
        <v>45.3</v>
      </c>
      <c r="I18" s="15">
        <f t="shared" si="0"/>
        <v>2.3891812130550374</v>
      </c>
      <c r="J18" s="4" t="s">
        <v>29</v>
      </c>
      <c r="K18" s="4">
        <v>2006</v>
      </c>
    </row>
    <row r="19" spans="1:11" s="6" customFormat="1" ht="15">
      <c r="A19" s="4">
        <v>2</v>
      </c>
      <c r="B19" s="4">
        <f>42.2+53.8+29.6+15.9</f>
        <v>141.5</v>
      </c>
      <c r="C19" s="4">
        <v>0</v>
      </c>
      <c r="D19" s="4">
        <v>125</v>
      </c>
      <c r="E19" s="4">
        <v>2</v>
      </c>
      <c r="F19" s="4" t="s">
        <v>21</v>
      </c>
      <c r="G19" s="4">
        <v>55.3</v>
      </c>
      <c r="H19" s="4">
        <v>45.3</v>
      </c>
      <c r="I19" s="15">
        <f t="shared" si="0"/>
        <v>3.472932503773092</v>
      </c>
      <c r="J19" s="4" t="s">
        <v>29</v>
      </c>
      <c r="K19" s="4">
        <v>2006</v>
      </c>
    </row>
    <row r="20" spans="1:11" s="6" customFormat="1" ht="15">
      <c r="A20" s="4">
        <v>18</v>
      </c>
      <c r="B20" s="4">
        <f>31.7+49.5</f>
        <v>81.2</v>
      </c>
      <c r="C20" s="4">
        <v>0</v>
      </c>
      <c r="D20" s="4">
        <v>100</v>
      </c>
      <c r="E20" s="4">
        <v>2</v>
      </c>
      <c r="F20" s="4" t="s">
        <v>21</v>
      </c>
      <c r="G20" s="4">
        <v>55.3</v>
      </c>
      <c r="H20" s="4">
        <v>45.3</v>
      </c>
      <c r="I20" s="15">
        <f t="shared" si="0"/>
        <v>1.2754866173574562</v>
      </c>
      <c r="J20" s="4" t="s">
        <v>29</v>
      </c>
      <c r="K20" s="22">
        <v>1980</v>
      </c>
    </row>
    <row r="21" spans="1:11" s="6" customFormat="1" ht="15">
      <c r="A21" s="4">
        <v>3</v>
      </c>
      <c r="B21" s="4">
        <f>20+23.6+41.7+16.5</f>
        <v>101.80000000000001</v>
      </c>
      <c r="C21" s="4">
        <v>0</v>
      </c>
      <c r="D21" s="4">
        <v>100</v>
      </c>
      <c r="E21" s="4">
        <v>2</v>
      </c>
      <c r="F21" s="4" t="s">
        <v>21</v>
      </c>
      <c r="G21" s="4">
        <v>55.3</v>
      </c>
      <c r="H21" s="4">
        <v>45.3</v>
      </c>
      <c r="I21" s="15">
        <f t="shared" si="0"/>
        <v>1.599070660677205</v>
      </c>
      <c r="J21" s="4" t="s">
        <v>29</v>
      </c>
      <c r="K21" s="4">
        <v>2006</v>
      </c>
    </row>
    <row r="22" spans="1:11" s="6" customFormat="1" ht="15">
      <c r="A22" s="4">
        <v>8</v>
      </c>
      <c r="B22" s="4">
        <f>43.6+51.2</f>
        <v>94.80000000000001</v>
      </c>
      <c r="C22" s="4">
        <v>0</v>
      </c>
      <c r="D22" s="4">
        <v>80</v>
      </c>
      <c r="E22" s="4">
        <v>2</v>
      </c>
      <c r="F22" s="4" t="s">
        <v>21</v>
      </c>
      <c r="G22" s="4">
        <v>55.3</v>
      </c>
      <c r="H22" s="4">
        <v>45.3</v>
      </c>
      <c r="I22" s="15">
        <f t="shared" si="0"/>
        <v>0.9530335473929997</v>
      </c>
      <c r="J22" s="4" t="s">
        <v>29</v>
      </c>
      <c r="K22" s="4">
        <v>2007</v>
      </c>
    </row>
    <row r="23" spans="1:11" s="6" customFormat="1" ht="15">
      <c r="A23" s="4">
        <v>4</v>
      </c>
      <c r="B23" s="4">
        <v>41.5</v>
      </c>
      <c r="C23" s="4">
        <v>0</v>
      </c>
      <c r="D23" s="4">
        <v>80</v>
      </c>
      <c r="E23" s="4">
        <v>2</v>
      </c>
      <c r="F23" s="4" t="s">
        <v>21</v>
      </c>
      <c r="G23" s="4">
        <v>55.3</v>
      </c>
      <c r="H23" s="4">
        <v>45.3</v>
      </c>
      <c r="I23" s="15">
        <f t="shared" si="0"/>
        <v>0.41720350439672454</v>
      </c>
      <c r="J23" s="4" t="s">
        <v>29</v>
      </c>
      <c r="K23" s="4">
        <v>2006</v>
      </c>
    </row>
    <row r="24" spans="1:11" s="6" customFormat="1" ht="15">
      <c r="A24" s="4">
        <v>19</v>
      </c>
      <c r="B24" s="4">
        <v>14</v>
      </c>
      <c r="C24" s="4">
        <v>0</v>
      </c>
      <c r="D24" s="4">
        <v>65</v>
      </c>
      <c r="E24" s="4">
        <v>2</v>
      </c>
      <c r="F24" s="4" t="s">
        <v>21</v>
      </c>
      <c r="G24" s="4">
        <v>55.3</v>
      </c>
      <c r="H24" s="4">
        <v>45.3</v>
      </c>
      <c r="I24" s="15">
        <f t="shared" si="0"/>
        <v>0.09291260272991815</v>
      </c>
      <c r="J24" s="4" t="s">
        <v>29</v>
      </c>
      <c r="K24" s="22">
        <v>1980</v>
      </c>
    </row>
    <row r="25" spans="1:11" s="6" customFormat="1" ht="15">
      <c r="A25" s="4">
        <v>5</v>
      </c>
      <c r="B25" s="4">
        <f>20+5.2+48.2+41.9+7+11.2</f>
        <v>133.5</v>
      </c>
      <c r="C25" s="4">
        <v>0</v>
      </c>
      <c r="D25" s="4">
        <v>65</v>
      </c>
      <c r="E25" s="4">
        <v>2</v>
      </c>
      <c r="F25" s="4" t="s">
        <v>21</v>
      </c>
      <c r="G25" s="4">
        <v>55.3</v>
      </c>
      <c r="H25" s="4">
        <v>45.3</v>
      </c>
      <c r="I25" s="15">
        <f t="shared" si="0"/>
        <v>0.8859880331745766</v>
      </c>
      <c r="J25" s="4" t="s">
        <v>29</v>
      </c>
      <c r="K25" s="4">
        <v>2006</v>
      </c>
    </row>
    <row r="26" spans="1:11" s="6" customFormat="1" ht="15">
      <c r="A26" s="4">
        <v>9</v>
      </c>
      <c r="B26" s="4">
        <f>24.7+29.9+33.1+10.9+13.1</f>
        <v>111.69999999999999</v>
      </c>
      <c r="C26" s="4">
        <v>0</v>
      </c>
      <c r="D26" s="4">
        <v>65</v>
      </c>
      <c r="E26" s="4">
        <v>2</v>
      </c>
      <c r="F26" s="4" t="s">
        <v>21</v>
      </c>
      <c r="G26" s="4">
        <v>55.3</v>
      </c>
      <c r="H26" s="4">
        <v>45.3</v>
      </c>
      <c r="I26" s="15">
        <f t="shared" si="0"/>
        <v>0.7413098374951326</v>
      </c>
      <c r="J26" s="4" t="s">
        <v>29</v>
      </c>
      <c r="K26" s="4">
        <v>2007</v>
      </c>
    </row>
    <row r="27" spans="1:11" s="6" customFormat="1" ht="15">
      <c r="A27" s="4">
        <v>20</v>
      </c>
      <c r="B27" s="4">
        <f>20+82.9+35+69.4+16.9+10+7.9+9.5+10</f>
        <v>261.6</v>
      </c>
      <c r="C27" s="4">
        <v>0</v>
      </c>
      <c r="D27" s="4">
        <v>50</v>
      </c>
      <c r="E27" s="4">
        <v>2</v>
      </c>
      <c r="F27" s="4" t="s">
        <v>21</v>
      </c>
      <c r="G27" s="4">
        <v>55.3</v>
      </c>
      <c r="H27" s="4">
        <v>45.3</v>
      </c>
      <c r="I27" s="15">
        <f t="shared" si="0"/>
        <v>1.0273007977238626</v>
      </c>
      <c r="J27" s="4" t="s">
        <v>29</v>
      </c>
      <c r="K27" s="22">
        <v>1980</v>
      </c>
    </row>
    <row r="28" spans="1:11" s="6" customFormat="1" ht="15">
      <c r="A28" s="4">
        <v>10</v>
      </c>
      <c r="B28" s="61">
        <f>18.8+22.8</f>
        <v>41.6</v>
      </c>
      <c r="C28" s="4">
        <v>0</v>
      </c>
      <c r="D28" s="4">
        <v>50</v>
      </c>
      <c r="E28" s="4">
        <v>2</v>
      </c>
      <c r="F28" s="4" t="s">
        <v>21</v>
      </c>
      <c r="G28" s="4">
        <v>55.3</v>
      </c>
      <c r="H28" s="4">
        <v>45.3</v>
      </c>
      <c r="I28" s="15">
        <f t="shared" si="0"/>
        <v>0.16336281798666927</v>
      </c>
      <c r="J28" s="4" t="s">
        <v>29</v>
      </c>
      <c r="K28" s="22">
        <v>2007</v>
      </c>
    </row>
    <row r="29" spans="1:11" s="6" customFormat="1" ht="15">
      <c r="A29" s="4">
        <v>21</v>
      </c>
      <c r="B29" s="4">
        <v>20</v>
      </c>
      <c r="C29" s="4">
        <v>0</v>
      </c>
      <c r="D29" s="4">
        <v>40</v>
      </c>
      <c r="E29" s="4">
        <v>2</v>
      </c>
      <c r="F29" s="4" t="s">
        <v>21</v>
      </c>
      <c r="G29" s="4">
        <v>55.3</v>
      </c>
      <c r="H29" s="4">
        <v>45.3</v>
      </c>
      <c r="I29" s="15">
        <f t="shared" si="0"/>
        <v>0.050265482457436686</v>
      </c>
      <c r="J29" s="4" t="s">
        <v>29</v>
      </c>
      <c r="K29" s="22">
        <v>1980</v>
      </c>
    </row>
    <row r="30" spans="1:11" s="6" customFormat="1" ht="15">
      <c r="A30" s="4">
        <v>11</v>
      </c>
      <c r="B30" s="4">
        <f>53.8+16.3+21.8+34.8+16.8</f>
        <v>143.5</v>
      </c>
      <c r="C30" s="4">
        <v>0</v>
      </c>
      <c r="D30" s="4">
        <v>40</v>
      </c>
      <c r="E30" s="4">
        <v>2</v>
      </c>
      <c r="F30" s="4" t="s">
        <v>21</v>
      </c>
      <c r="G30" s="4">
        <v>55.3</v>
      </c>
      <c r="H30" s="4">
        <v>45.3</v>
      </c>
      <c r="I30" s="15">
        <f t="shared" si="0"/>
        <v>0.36065483663210823</v>
      </c>
      <c r="J30" s="4" t="s">
        <v>29</v>
      </c>
      <c r="K30" s="22">
        <v>2007</v>
      </c>
    </row>
    <row r="31" spans="1:11" s="6" customFormat="1" ht="15">
      <c r="A31" s="4">
        <v>22</v>
      </c>
      <c r="B31" s="4">
        <f>16+12.5</f>
        <v>28.5</v>
      </c>
      <c r="C31" s="4">
        <v>0</v>
      </c>
      <c r="D31" s="4">
        <v>32</v>
      </c>
      <c r="E31" s="4">
        <v>2</v>
      </c>
      <c r="F31" s="4" t="s">
        <v>21</v>
      </c>
      <c r="G31" s="4">
        <v>55.3</v>
      </c>
      <c r="H31" s="4">
        <v>45.3</v>
      </c>
      <c r="I31" s="15">
        <f t="shared" si="0"/>
        <v>0.045842120001182256</v>
      </c>
      <c r="J31" s="4" t="s">
        <v>29</v>
      </c>
      <c r="K31" s="22">
        <v>1980</v>
      </c>
    </row>
    <row r="32" spans="1:11" s="6" customFormat="1" ht="15">
      <c r="A32" s="3">
        <v>12</v>
      </c>
      <c r="B32" s="4">
        <v>66.3</v>
      </c>
      <c r="C32" s="4">
        <v>0</v>
      </c>
      <c r="D32" s="4">
        <v>32</v>
      </c>
      <c r="E32" s="4">
        <v>2</v>
      </c>
      <c r="F32" s="4" t="s">
        <v>21</v>
      </c>
      <c r="G32" s="4">
        <v>55.3</v>
      </c>
      <c r="H32" s="4">
        <v>45.3</v>
      </c>
      <c r="I32" s="15">
        <f t="shared" si="0"/>
        <v>0.10664324758169767</v>
      </c>
      <c r="J32" s="4" t="s">
        <v>29</v>
      </c>
      <c r="K32" s="22">
        <v>2007</v>
      </c>
    </row>
    <row r="33" spans="1:11" s="6" customFormat="1" ht="15.75" thickBot="1">
      <c r="A33" s="52">
        <v>23</v>
      </c>
      <c r="B33" s="54">
        <v>18.5</v>
      </c>
      <c r="C33" s="54"/>
      <c r="D33" s="9">
        <v>32</v>
      </c>
      <c r="E33" s="9">
        <v>2</v>
      </c>
      <c r="F33" s="9" t="s">
        <v>21</v>
      </c>
      <c r="G33" s="9">
        <v>55.3</v>
      </c>
      <c r="H33" s="9">
        <v>45.3</v>
      </c>
      <c r="I33" s="62">
        <f t="shared" si="0"/>
        <v>0.02975716561480252</v>
      </c>
      <c r="J33" s="54" t="s">
        <v>31</v>
      </c>
      <c r="K33" s="55">
        <v>2017</v>
      </c>
    </row>
    <row r="34" spans="1:11" s="21" customFormat="1" ht="15" thickBot="1">
      <c r="A34" s="17" t="s">
        <v>22</v>
      </c>
      <c r="B34" s="63">
        <f>SUM(B11:B33)</f>
        <v>1904.8</v>
      </c>
      <c r="C34" s="64">
        <f>SUM(C11:C14)</f>
        <v>1</v>
      </c>
      <c r="D34" s="18"/>
      <c r="E34" s="18"/>
      <c r="F34" s="18"/>
      <c r="G34" s="18"/>
      <c r="H34" s="18"/>
      <c r="I34" s="65">
        <f>SUM(I11:I31)</f>
        <v>16.993917200789287</v>
      </c>
      <c r="J34" s="18"/>
      <c r="K34" s="20"/>
    </row>
    <row r="35" spans="1:11" ht="15.75" customHeight="1">
      <c r="A35" s="85" t="s">
        <v>23</v>
      </c>
      <c r="B35" s="86"/>
      <c r="C35" s="86"/>
      <c r="D35" s="86"/>
      <c r="E35" s="86"/>
      <c r="F35" s="86"/>
      <c r="G35" s="86"/>
      <c r="H35" s="86"/>
      <c r="I35" s="86"/>
      <c r="J35" s="86"/>
      <c r="K35" s="87"/>
    </row>
    <row r="36" spans="1:11" s="6" customFormat="1" ht="15">
      <c r="A36" s="3"/>
      <c r="B36" s="4"/>
      <c r="C36" s="4"/>
      <c r="D36" s="4"/>
      <c r="E36" s="4"/>
      <c r="F36" s="4"/>
      <c r="G36" s="4"/>
      <c r="H36" s="4"/>
      <c r="I36" s="5"/>
      <c r="J36" s="4"/>
      <c r="K36" s="22"/>
    </row>
    <row r="37" spans="1:11" s="6" customFormat="1" ht="15.75">
      <c r="A37" s="85" t="s">
        <v>24</v>
      </c>
      <c r="B37" s="86"/>
      <c r="C37" s="86"/>
      <c r="D37" s="86"/>
      <c r="E37" s="86"/>
      <c r="F37" s="86"/>
      <c r="G37" s="86"/>
      <c r="H37" s="86"/>
      <c r="I37" s="86"/>
      <c r="J37" s="86"/>
      <c r="K37" s="87"/>
    </row>
    <row r="38" spans="1:11" s="6" customFormat="1" ht="15.75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s="27" customFormat="1" ht="15" thickBot="1">
      <c r="A39" s="23" t="s">
        <v>22</v>
      </c>
      <c r="B39" s="24">
        <f>SUM(B36:B38)</f>
        <v>0</v>
      </c>
      <c r="C39" s="24"/>
      <c r="D39" s="24"/>
      <c r="E39" s="24"/>
      <c r="F39" s="24"/>
      <c r="G39" s="24"/>
      <c r="H39" s="24"/>
      <c r="I39" s="25">
        <f>SUM(I36:I38)</f>
        <v>0</v>
      </c>
      <c r="J39" s="24"/>
      <c r="K39" s="26"/>
    </row>
    <row r="40" spans="1:11" ht="12.75">
      <c r="A40" s="28"/>
      <c r="B40" s="28"/>
      <c r="C40" s="28"/>
      <c r="D40" s="28"/>
      <c r="E40" s="28"/>
      <c r="F40" s="28"/>
      <c r="G40" s="28"/>
      <c r="H40" s="28"/>
      <c r="I40" s="28"/>
      <c r="J40" s="29"/>
      <c r="K40" s="29"/>
    </row>
    <row r="41" spans="1:11" s="30" customFormat="1" ht="19.5" customHeight="1">
      <c r="A41" s="88" t="s">
        <v>53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59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23" s="30" customFormat="1" ht="26.25" customHeight="1">
      <c r="A43" s="89" t="s">
        <v>26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0:11" s="30" customFormat="1" ht="15.75">
      <c r="J44" s="33"/>
      <c r="K44" s="33"/>
    </row>
    <row r="45" spans="1:11" s="30" customFormat="1" ht="15.75">
      <c r="A45" s="89" t="s">
        <v>54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7" spans="1:4" ht="12.75">
      <c r="A47" s="118" t="s">
        <v>57</v>
      </c>
      <c r="B47" s="69" t="s">
        <v>58</v>
      </c>
      <c r="C47" s="69" t="s">
        <v>59</v>
      </c>
      <c r="D47" s="69" t="s">
        <v>60</v>
      </c>
    </row>
    <row r="48" spans="1:4" ht="12.75">
      <c r="A48" s="119"/>
      <c r="B48" s="70" t="e">
        <f>(#REF!*#REF!+B11*D11+B12*D12+B13*D13+B14*D14+B17*D17+B18*D18+B19*D19+B20*D20+B21*D21+B22*D22+B23*D23+B24*D24+B25*D25+B26*D26+B27*D27+B28*D28+B29*D29+B30*D30+B31*D31+#REF!*#REF!+#REF!*#REF!+B32*D32)/B34</f>
        <v>#REF!</v>
      </c>
      <c r="C48" s="71">
        <v>0</v>
      </c>
      <c r="D48" s="70" t="e">
        <f>B48</f>
        <v>#REF!</v>
      </c>
    </row>
  </sheetData>
  <sheetProtection/>
  <mergeCells count="25">
    <mergeCell ref="J1:K1"/>
    <mergeCell ref="A2:K2"/>
    <mergeCell ref="A3:K3"/>
    <mergeCell ref="A5:F5"/>
    <mergeCell ref="G5:K5"/>
    <mergeCell ref="A7:A9"/>
    <mergeCell ref="B7:B9"/>
    <mergeCell ref="C7:C9"/>
    <mergeCell ref="D7:D9"/>
    <mergeCell ref="E7:E9"/>
    <mergeCell ref="F7:F9"/>
    <mergeCell ref="G7:H7"/>
    <mergeCell ref="I7:I9"/>
    <mergeCell ref="J7:J9"/>
    <mergeCell ref="K7:K9"/>
    <mergeCell ref="G8:G9"/>
    <mergeCell ref="H8:H9"/>
    <mergeCell ref="A10:K10"/>
    <mergeCell ref="A47:A48"/>
    <mergeCell ref="A16:K16"/>
    <mergeCell ref="A35:K35"/>
    <mergeCell ref="A37:K37"/>
    <mergeCell ref="A41:K42"/>
    <mergeCell ref="A43:K43"/>
    <mergeCell ref="A45:K45"/>
  </mergeCells>
  <printOptions horizontalCentered="1" verticalCentered="1"/>
  <pageMargins left="0.5905511811023623" right="0.35433070866141736" top="0.1968503937007874" bottom="0.4330708661417323" header="0.1968503937007874" footer="0.2755905511811024"/>
  <pageSetup horizontalDpi="600" verticalDpi="600" orientation="landscape" paperSize="9" scale="90" r:id="rId5"/>
  <headerFooter alignWithMargins="0">
    <oddFooter>&amp;CСтраница &amp;P из &amp;N</oddFooter>
  </headerFooter>
  <rowBreaks count="1" manualBreakCount="1">
    <brk id="22" max="10" man="1"/>
  </rowBreaks>
  <legacyDrawing r:id="rId4"/>
  <oleObjects>
    <oleObject progId="Equation.3" shapeId="1800811" r:id="rId2"/>
    <oleObject progId="Equation.3" shapeId="180081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64"/>
  <sheetViews>
    <sheetView view="pageBreakPreview" zoomScaleSheetLayoutView="100" zoomScalePageLayoutView="0" workbookViewId="0" topLeftCell="A34">
      <selection activeCell="N11" sqref="N11"/>
    </sheetView>
  </sheetViews>
  <sheetFormatPr defaultColWidth="9.00390625" defaultRowHeight="12.75"/>
  <cols>
    <col min="1" max="1" width="16.00390625" style="1" customWidth="1"/>
    <col min="2" max="2" width="15.875" style="0" customWidth="1"/>
    <col min="3" max="3" width="15.125" style="0" customWidth="1"/>
    <col min="4" max="4" width="11.625" style="0" customWidth="1"/>
    <col min="5" max="5" width="14.00390625" style="0" customWidth="1"/>
    <col min="6" max="6" width="18.00390625" style="0" customWidth="1"/>
    <col min="7" max="7" width="10.875" style="0" customWidth="1"/>
    <col min="8" max="8" width="10.625" style="0" customWidth="1"/>
    <col min="9" max="9" width="11.125" style="0" hidden="1" customWidth="1"/>
    <col min="10" max="10" width="14.50390625" style="1" customWidth="1"/>
    <col min="11" max="11" width="20.00390625" style="1" customWidth="1"/>
  </cols>
  <sheetData>
    <row r="1" spans="10:11" ht="15.75">
      <c r="J1" s="100" t="s">
        <v>0</v>
      </c>
      <c r="K1" s="100"/>
    </row>
    <row r="2" spans="1:11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Bot="1">
      <c r="A5" s="101" t="s">
        <v>3</v>
      </c>
      <c r="B5" s="102"/>
      <c r="C5" s="102"/>
      <c r="D5" s="102"/>
      <c r="E5" s="102"/>
      <c r="F5" s="102"/>
      <c r="G5" s="102" t="s">
        <v>56</v>
      </c>
      <c r="H5" s="102"/>
      <c r="I5" s="102"/>
      <c r="J5" s="102"/>
      <c r="K5" s="120"/>
    </row>
    <row r="6" spans="1:11" ht="51" customHeight="1">
      <c r="A6" s="105" t="s">
        <v>5</v>
      </c>
      <c r="B6" s="108" t="s">
        <v>6</v>
      </c>
      <c r="C6" s="90" t="s">
        <v>7</v>
      </c>
      <c r="D6" s="108" t="s">
        <v>8</v>
      </c>
      <c r="E6" s="90" t="s">
        <v>9</v>
      </c>
      <c r="F6" s="90" t="s">
        <v>10</v>
      </c>
      <c r="G6" s="108" t="s">
        <v>11</v>
      </c>
      <c r="H6" s="111"/>
      <c r="I6" s="90" t="s">
        <v>12</v>
      </c>
      <c r="J6" s="90" t="s">
        <v>13</v>
      </c>
      <c r="K6" s="93" t="s">
        <v>14</v>
      </c>
    </row>
    <row r="7" spans="1:11" ht="38.25" customHeight="1">
      <c r="A7" s="106"/>
      <c r="B7" s="109"/>
      <c r="C7" s="91"/>
      <c r="D7" s="109"/>
      <c r="E7" s="91"/>
      <c r="F7" s="91"/>
      <c r="G7" s="96" t="s">
        <v>15</v>
      </c>
      <c r="H7" s="96" t="s">
        <v>16</v>
      </c>
      <c r="I7" s="91"/>
      <c r="J7" s="91"/>
      <c r="K7" s="94"/>
    </row>
    <row r="8" spans="1:11" ht="13.5" thickBot="1">
      <c r="A8" s="107"/>
      <c r="B8" s="110"/>
      <c r="C8" s="92"/>
      <c r="D8" s="110"/>
      <c r="E8" s="92"/>
      <c r="F8" s="92"/>
      <c r="G8" s="92"/>
      <c r="H8" s="92"/>
      <c r="I8" s="92"/>
      <c r="J8" s="92"/>
      <c r="K8" s="95"/>
    </row>
    <row r="9" spans="1:11" ht="15.75" customHeight="1">
      <c r="A9" s="97" t="s">
        <v>17</v>
      </c>
      <c r="B9" s="98"/>
      <c r="C9" s="98"/>
      <c r="D9" s="98"/>
      <c r="E9" s="98"/>
      <c r="F9" s="98"/>
      <c r="G9" s="98"/>
      <c r="H9" s="98"/>
      <c r="I9" s="98"/>
      <c r="J9" s="98"/>
      <c r="K9" s="99"/>
    </row>
    <row r="10" spans="1:11" s="6" customFormat="1" ht="15">
      <c r="A10" s="37">
        <v>5</v>
      </c>
      <c r="B10" s="9">
        <f>80+11.9+3.2</f>
        <v>95.10000000000001</v>
      </c>
      <c r="C10" s="9">
        <v>0</v>
      </c>
      <c r="D10" s="9">
        <v>150</v>
      </c>
      <c r="E10" s="9">
        <v>2</v>
      </c>
      <c r="F10" s="9" t="s">
        <v>18</v>
      </c>
      <c r="G10" s="9">
        <v>55.3</v>
      </c>
      <c r="H10" s="9">
        <v>45.3</v>
      </c>
      <c r="I10" s="5">
        <f aca="true" t="shared" si="0" ref="I10:I20">(PI()*((D10/1000)^2)/4)*B10*E10</f>
        <v>3.3611114402593802</v>
      </c>
      <c r="J10" s="9" t="s">
        <v>19</v>
      </c>
      <c r="K10" s="38">
        <v>1980</v>
      </c>
    </row>
    <row r="11" spans="1:11" s="6" customFormat="1" ht="15">
      <c r="A11" s="37">
        <v>14</v>
      </c>
      <c r="B11" s="9">
        <v>60</v>
      </c>
      <c r="C11" s="9">
        <v>0</v>
      </c>
      <c r="D11" s="9">
        <v>150</v>
      </c>
      <c r="E11" s="9">
        <v>2</v>
      </c>
      <c r="F11" s="9" t="s">
        <v>32</v>
      </c>
      <c r="G11" s="9">
        <v>55.3</v>
      </c>
      <c r="H11" s="9">
        <v>45.3</v>
      </c>
      <c r="I11" s="5"/>
      <c r="J11" s="9" t="s">
        <v>33</v>
      </c>
      <c r="K11" s="38">
        <v>2016</v>
      </c>
    </row>
    <row r="12" spans="1:11" s="6" customFormat="1" ht="15">
      <c r="A12" s="37">
        <v>2</v>
      </c>
      <c r="B12" s="9">
        <f>20+69.1+387.3</f>
        <v>476.4</v>
      </c>
      <c r="C12" s="9">
        <v>2</v>
      </c>
      <c r="D12" s="9">
        <v>150</v>
      </c>
      <c r="E12" s="9">
        <v>2</v>
      </c>
      <c r="F12" s="9" t="s">
        <v>18</v>
      </c>
      <c r="G12" s="9">
        <v>55.3</v>
      </c>
      <c r="H12" s="9">
        <v>45.3</v>
      </c>
      <c r="I12" s="5">
        <f t="shared" si="0"/>
        <v>16.837365826914496</v>
      </c>
      <c r="J12" s="9" t="s">
        <v>19</v>
      </c>
      <c r="K12" s="38">
        <v>1991</v>
      </c>
    </row>
    <row r="13" spans="1:11" s="6" customFormat="1" ht="15">
      <c r="A13" s="37">
        <v>3</v>
      </c>
      <c r="B13" s="9">
        <f>58+63+7.5+13.1+17+2</f>
        <v>160.6</v>
      </c>
      <c r="C13" s="9">
        <v>1</v>
      </c>
      <c r="D13" s="9">
        <v>100</v>
      </c>
      <c r="E13" s="9">
        <v>2</v>
      </c>
      <c r="F13" s="9" t="s">
        <v>18</v>
      </c>
      <c r="G13" s="9">
        <v>55.3</v>
      </c>
      <c r="H13" s="9">
        <v>45.3</v>
      </c>
      <c r="I13" s="5">
        <f t="shared" si="0"/>
        <v>2.522698900832604</v>
      </c>
      <c r="J13" s="9" t="s">
        <v>19</v>
      </c>
      <c r="K13" s="38">
        <v>1991</v>
      </c>
    </row>
    <row r="14" spans="1:11" s="6" customFormat="1" ht="15">
      <c r="A14" s="37">
        <v>17</v>
      </c>
      <c r="B14" s="9">
        <v>19.4</v>
      </c>
      <c r="C14" s="9">
        <v>1</v>
      </c>
      <c r="D14" s="9">
        <v>100</v>
      </c>
      <c r="E14" s="9">
        <v>2</v>
      </c>
      <c r="F14" s="9" t="s">
        <v>18</v>
      </c>
      <c r="G14" s="9">
        <v>55.3</v>
      </c>
      <c r="H14" s="9">
        <v>45.3</v>
      </c>
      <c r="I14" s="5">
        <f>(PI()*((D14/1000)^2)/4)*B14*E14</f>
        <v>0.30473448739820996</v>
      </c>
      <c r="J14" s="9" t="s">
        <v>19</v>
      </c>
      <c r="K14" s="38">
        <v>1994</v>
      </c>
    </row>
    <row r="15" spans="1:11" s="6" customFormat="1" ht="15">
      <c r="A15" s="37">
        <v>18</v>
      </c>
      <c r="B15" s="9">
        <v>3.6</v>
      </c>
      <c r="C15" s="9">
        <v>1</v>
      </c>
      <c r="D15" s="9">
        <v>80</v>
      </c>
      <c r="E15" s="9">
        <v>2</v>
      </c>
      <c r="F15" s="9" t="s">
        <v>32</v>
      </c>
      <c r="G15" s="9">
        <v>55.3</v>
      </c>
      <c r="H15" s="9">
        <v>45.3</v>
      </c>
      <c r="I15" s="5"/>
      <c r="J15" s="9" t="s">
        <v>33</v>
      </c>
      <c r="K15" s="38">
        <v>2018</v>
      </c>
    </row>
    <row r="16" spans="1:11" s="6" customFormat="1" ht="15">
      <c r="A16" s="37">
        <v>6</v>
      </c>
      <c r="B16" s="9">
        <v>46.4</v>
      </c>
      <c r="C16" s="9">
        <v>0</v>
      </c>
      <c r="D16" s="9">
        <v>80</v>
      </c>
      <c r="E16" s="9">
        <v>2</v>
      </c>
      <c r="F16" s="9" t="s">
        <v>18</v>
      </c>
      <c r="G16" s="9">
        <v>55.3</v>
      </c>
      <c r="H16" s="9">
        <v>45.3</v>
      </c>
      <c r="I16" s="5"/>
      <c r="J16" s="9" t="s">
        <v>31</v>
      </c>
      <c r="K16" s="38">
        <v>2018</v>
      </c>
    </row>
    <row r="17" spans="1:11" s="6" customFormat="1" ht="15">
      <c r="A17" s="37">
        <v>7</v>
      </c>
      <c r="B17" s="9">
        <f>91.9+3</f>
        <v>94.9</v>
      </c>
      <c r="C17" s="9">
        <v>0</v>
      </c>
      <c r="D17" s="9">
        <v>65</v>
      </c>
      <c r="E17" s="9">
        <v>2</v>
      </c>
      <c r="F17" s="9" t="s">
        <v>18</v>
      </c>
      <c r="G17" s="9">
        <v>55.3</v>
      </c>
      <c r="H17" s="9">
        <v>45.3</v>
      </c>
      <c r="I17" s="5">
        <f>(PI()*((D17/1000)^2)/4)*B17*E17</f>
        <v>0.6298147142192309</v>
      </c>
      <c r="J17" s="9" t="s">
        <v>19</v>
      </c>
      <c r="K17" s="38">
        <v>1991</v>
      </c>
    </row>
    <row r="18" spans="1:11" s="6" customFormat="1" ht="15">
      <c r="A18" s="37">
        <v>8</v>
      </c>
      <c r="B18" s="9">
        <v>17.4</v>
      </c>
      <c r="C18" s="9">
        <v>0</v>
      </c>
      <c r="D18" s="9">
        <v>65</v>
      </c>
      <c r="E18" s="9">
        <v>2</v>
      </c>
      <c r="F18" s="9" t="s">
        <v>18</v>
      </c>
      <c r="G18" s="9">
        <v>55.3</v>
      </c>
      <c r="H18" s="9">
        <v>45.3</v>
      </c>
      <c r="I18" s="5">
        <f>(PI()*((D18/1000)^2)/4)*B18*E18</f>
        <v>0.11547709196432683</v>
      </c>
      <c r="J18" s="9" t="s">
        <v>19</v>
      </c>
      <c r="K18" s="38">
        <v>1980</v>
      </c>
    </row>
    <row r="19" spans="1:11" s="6" customFormat="1" ht="15">
      <c r="A19" s="37">
        <v>9</v>
      </c>
      <c r="B19" s="9">
        <f>31.3+6.5+25+4+7+11.7+125.4+26.4+34.7+22+55.3+59.7+9.6</f>
        <v>418.6</v>
      </c>
      <c r="C19" s="9">
        <v>1</v>
      </c>
      <c r="D19" s="9">
        <v>50</v>
      </c>
      <c r="E19" s="9">
        <v>2</v>
      </c>
      <c r="F19" s="9" t="s">
        <v>18</v>
      </c>
      <c r="G19" s="9">
        <v>55.3</v>
      </c>
      <c r="H19" s="9">
        <v>45.3</v>
      </c>
      <c r="I19" s="5">
        <f t="shared" si="0"/>
        <v>1.6438383559908596</v>
      </c>
      <c r="J19" s="9" t="s">
        <v>19</v>
      </c>
      <c r="K19" s="38">
        <v>1980</v>
      </c>
    </row>
    <row r="20" spans="1:11" s="72" customFormat="1" ht="15">
      <c r="A20" s="37">
        <v>4</v>
      </c>
      <c r="B20" s="9">
        <v>104.4</v>
      </c>
      <c r="C20" s="9">
        <v>0</v>
      </c>
      <c r="D20" s="9">
        <v>50</v>
      </c>
      <c r="E20" s="9">
        <v>2</v>
      </c>
      <c r="F20" s="9" t="s">
        <v>18</v>
      </c>
      <c r="G20" s="9">
        <v>55.3</v>
      </c>
      <c r="H20" s="9">
        <v>45.3</v>
      </c>
      <c r="I20" s="5">
        <f t="shared" si="0"/>
        <v>0.40997784129346804</v>
      </c>
      <c r="J20" s="9" t="s">
        <v>19</v>
      </c>
      <c r="K20" s="38">
        <v>1991</v>
      </c>
    </row>
    <row r="21" spans="1:11" s="72" customFormat="1" ht="15">
      <c r="A21" s="73">
        <v>19</v>
      </c>
      <c r="B21" s="9">
        <v>8.3</v>
      </c>
      <c r="C21" s="9">
        <v>1</v>
      </c>
      <c r="D21" s="9">
        <v>50</v>
      </c>
      <c r="E21" s="9">
        <v>2</v>
      </c>
      <c r="F21" s="9" t="s">
        <v>32</v>
      </c>
      <c r="G21" s="9">
        <v>55.3</v>
      </c>
      <c r="H21" s="9">
        <v>45.3</v>
      </c>
      <c r="I21" s="5">
        <f>(PI()*((D21/1000)^2)/4)*B21*E21</f>
        <v>0.03259402378099411</v>
      </c>
      <c r="J21" s="9" t="s">
        <v>19</v>
      </c>
      <c r="K21" s="38">
        <v>1994</v>
      </c>
    </row>
    <row r="22" spans="1:11" s="72" customFormat="1" ht="15">
      <c r="A22" s="73">
        <v>15</v>
      </c>
      <c r="B22" s="9">
        <v>31.5</v>
      </c>
      <c r="C22" s="9">
        <v>0</v>
      </c>
      <c r="D22" s="9">
        <v>50</v>
      </c>
      <c r="E22" s="9">
        <v>2</v>
      </c>
      <c r="F22" s="9" t="s">
        <v>18</v>
      </c>
      <c r="G22" s="9">
        <v>55.3</v>
      </c>
      <c r="H22" s="9">
        <v>45.3</v>
      </c>
      <c r="I22" s="5"/>
      <c r="J22" s="9" t="s">
        <v>31</v>
      </c>
      <c r="K22" s="38">
        <v>2017</v>
      </c>
    </row>
    <row r="23" spans="1:11" s="72" customFormat="1" ht="15">
      <c r="A23" s="73">
        <v>20</v>
      </c>
      <c r="B23" s="9">
        <v>30</v>
      </c>
      <c r="C23" s="9">
        <v>0</v>
      </c>
      <c r="D23" s="74">
        <v>40</v>
      </c>
      <c r="E23" s="9">
        <v>2</v>
      </c>
      <c r="F23" s="9" t="s">
        <v>18</v>
      </c>
      <c r="G23" s="9">
        <v>55.3</v>
      </c>
      <c r="H23" s="9">
        <v>45.3</v>
      </c>
      <c r="I23" s="5"/>
      <c r="J23" s="9" t="s">
        <v>33</v>
      </c>
      <c r="K23" s="38">
        <v>2018</v>
      </c>
    </row>
    <row r="24" spans="1:11" s="72" customFormat="1" ht="15">
      <c r="A24" s="73">
        <v>21</v>
      </c>
      <c r="B24" s="9">
        <v>31.5</v>
      </c>
      <c r="C24" s="9">
        <v>0</v>
      </c>
      <c r="D24" s="74">
        <v>40</v>
      </c>
      <c r="E24" s="9">
        <v>2</v>
      </c>
      <c r="F24" s="9" t="s">
        <v>32</v>
      </c>
      <c r="G24" s="9">
        <v>55.3</v>
      </c>
      <c r="H24" s="9">
        <v>45.3</v>
      </c>
      <c r="I24" s="5"/>
      <c r="J24" s="9" t="s">
        <v>33</v>
      </c>
      <c r="K24" s="38">
        <v>2018</v>
      </c>
    </row>
    <row r="25" spans="1:11" s="72" customFormat="1" ht="15">
      <c r="A25" s="73">
        <v>22</v>
      </c>
      <c r="B25" s="9">
        <f>25.8+5</f>
        <v>30.8</v>
      </c>
      <c r="C25" s="9">
        <v>0</v>
      </c>
      <c r="D25" s="74">
        <v>32</v>
      </c>
      <c r="E25" s="9">
        <v>2</v>
      </c>
      <c r="F25" s="9" t="s">
        <v>32</v>
      </c>
      <c r="G25" s="9">
        <v>55.3</v>
      </c>
      <c r="H25" s="9">
        <v>45.3</v>
      </c>
      <c r="I25" s="5"/>
      <c r="J25" s="9" t="s">
        <v>19</v>
      </c>
      <c r="K25" s="38">
        <v>1994</v>
      </c>
    </row>
    <row r="26" spans="1:11" s="6" customFormat="1" ht="15.75">
      <c r="A26" s="114" t="s">
        <v>20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6"/>
    </row>
    <row r="27" spans="1:11" s="6" customFormat="1" ht="15">
      <c r="A27" s="37">
        <v>1</v>
      </c>
      <c r="B27" s="9">
        <v>157.8</v>
      </c>
      <c r="C27" s="9">
        <v>0</v>
      </c>
      <c r="D27" s="9">
        <v>150</v>
      </c>
      <c r="E27" s="9">
        <v>2</v>
      </c>
      <c r="F27" s="9" t="s">
        <v>21</v>
      </c>
      <c r="G27" s="9">
        <v>55.3</v>
      </c>
      <c r="H27" s="9">
        <v>45.3</v>
      </c>
      <c r="I27" s="5">
        <f aca="true" t="shared" si="1" ref="I27:I32">(PI()*((D27/1000)^2)/4)*B27*E27</f>
        <v>5.577112358285281</v>
      </c>
      <c r="J27" s="9" t="s">
        <v>19</v>
      </c>
      <c r="K27" s="38">
        <v>2006</v>
      </c>
    </row>
    <row r="28" spans="1:11" s="6" customFormat="1" ht="15">
      <c r="A28" s="41">
        <v>11</v>
      </c>
      <c r="B28" s="42">
        <f>54.5+28+2</f>
        <v>84.5</v>
      </c>
      <c r="C28" s="42">
        <v>0</v>
      </c>
      <c r="D28" s="42">
        <v>150</v>
      </c>
      <c r="E28" s="9">
        <v>2</v>
      </c>
      <c r="F28" s="9" t="s">
        <v>21</v>
      </c>
      <c r="G28" s="9">
        <v>55.3</v>
      </c>
      <c r="H28" s="9">
        <v>45.3</v>
      </c>
      <c r="I28" s="5">
        <f t="shared" si="1"/>
        <v>2.986476516318797</v>
      </c>
      <c r="J28" s="9" t="s">
        <v>19</v>
      </c>
      <c r="K28" s="38">
        <v>1980</v>
      </c>
    </row>
    <row r="29" spans="1:11" s="6" customFormat="1" ht="15">
      <c r="A29" s="41">
        <v>12</v>
      </c>
      <c r="B29" s="42">
        <f>29.6+120+14+44.5</f>
        <v>208.1</v>
      </c>
      <c r="C29" s="42">
        <v>0</v>
      </c>
      <c r="D29" s="42">
        <v>100</v>
      </c>
      <c r="E29" s="9">
        <v>2</v>
      </c>
      <c r="F29" s="9" t="s">
        <v>21</v>
      </c>
      <c r="G29" s="9">
        <v>55.3</v>
      </c>
      <c r="H29" s="9">
        <v>45.3</v>
      </c>
      <c r="I29" s="5">
        <f t="shared" si="1"/>
        <v>3.26882715606018</v>
      </c>
      <c r="J29" s="9" t="s">
        <v>19</v>
      </c>
      <c r="K29" s="38">
        <v>1980</v>
      </c>
    </row>
    <row r="30" spans="1:11" s="6" customFormat="1" ht="15">
      <c r="A30" s="41">
        <v>16</v>
      </c>
      <c r="B30" s="42">
        <v>22.5</v>
      </c>
      <c r="C30" s="42">
        <v>0</v>
      </c>
      <c r="D30" s="42">
        <v>40</v>
      </c>
      <c r="E30" s="9">
        <v>2</v>
      </c>
      <c r="F30" s="9" t="s">
        <v>21</v>
      </c>
      <c r="G30" s="9">
        <v>55.3</v>
      </c>
      <c r="H30" s="9">
        <v>45.3</v>
      </c>
      <c r="I30" s="5">
        <f t="shared" si="1"/>
        <v>0.05654866776461628</v>
      </c>
      <c r="J30" s="9" t="s">
        <v>31</v>
      </c>
      <c r="K30" s="38">
        <v>2010</v>
      </c>
    </row>
    <row r="31" spans="1:11" s="6" customFormat="1" ht="15">
      <c r="A31" s="41">
        <v>23</v>
      </c>
      <c r="B31" s="42">
        <v>70.4</v>
      </c>
      <c r="C31" s="42">
        <v>0</v>
      </c>
      <c r="D31" s="42">
        <v>40</v>
      </c>
      <c r="E31" s="9">
        <v>2</v>
      </c>
      <c r="F31" s="9" t="s">
        <v>21</v>
      </c>
      <c r="G31" s="9">
        <v>55.3</v>
      </c>
      <c r="H31" s="9">
        <v>45.3</v>
      </c>
      <c r="I31" s="5">
        <f t="shared" si="1"/>
        <v>0.17693449825017715</v>
      </c>
      <c r="J31" s="9" t="s">
        <v>31</v>
      </c>
      <c r="K31" s="38">
        <v>2018</v>
      </c>
    </row>
    <row r="32" spans="1:11" s="6" customFormat="1" ht="15">
      <c r="A32" s="41">
        <v>13</v>
      </c>
      <c r="B32" s="42">
        <v>16</v>
      </c>
      <c r="C32" s="42">
        <v>0</v>
      </c>
      <c r="D32" s="42">
        <v>50</v>
      </c>
      <c r="E32" s="9">
        <v>2</v>
      </c>
      <c r="F32" s="9" t="s">
        <v>21</v>
      </c>
      <c r="G32" s="9">
        <v>55.3</v>
      </c>
      <c r="H32" s="9">
        <v>45.3</v>
      </c>
      <c r="I32" s="5">
        <f t="shared" si="1"/>
        <v>0.06283185307179587</v>
      </c>
      <c r="J32" s="9" t="s">
        <v>19</v>
      </c>
      <c r="K32" s="38">
        <v>1980</v>
      </c>
    </row>
    <row r="33" spans="1:11" s="6" customFormat="1" ht="15">
      <c r="A33" s="41">
        <v>24</v>
      </c>
      <c r="B33" s="42">
        <f>23.1+24.5</f>
        <v>47.6</v>
      </c>
      <c r="C33" s="42">
        <v>0</v>
      </c>
      <c r="D33" s="42">
        <v>32</v>
      </c>
      <c r="E33" s="9">
        <v>2</v>
      </c>
      <c r="F33" s="9" t="s">
        <v>21</v>
      </c>
      <c r="G33" s="9">
        <v>55.3</v>
      </c>
      <c r="H33" s="9">
        <v>45.3</v>
      </c>
      <c r="I33" s="5">
        <f>(PI()*((D33/1000)^2)/4)*B33*E33</f>
        <v>0.07656438287916756</v>
      </c>
      <c r="J33" s="9" t="s">
        <v>31</v>
      </c>
      <c r="K33" s="38">
        <v>2010</v>
      </c>
    </row>
    <row r="34" spans="1:11" s="6" customFormat="1" ht="15.75" thickBot="1">
      <c r="A34" s="66"/>
      <c r="B34" s="75"/>
      <c r="C34" s="75"/>
      <c r="D34" s="75"/>
      <c r="E34" s="75"/>
      <c r="F34" s="75"/>
      <c r="G34" s="75"/>
      <c r="H34" s="75"/>
      <c r="I34" s="75"/>
      <c r="J34" s="67"/>
      <c r="K34" s="68"/>
    </row>
    <row r="35" spans="1:11" s="21" customFormat="1" ht="15" thickBot="1">
      <c r="A35" s="17" t="s">
        <v>22</v>
      </c>
      <c r="B35" s="18">
        <f>SUM(B10:B34)</f>
        <v>2235.8</v>
      </c>
      <c r="C35" s="18">
        <f>SUM(C10:C34)</f>
        <v>7</v>
      </c>
      <c r="D35" s="18"/>
      <c r="E35" s="18"/>
      <c r="F35" s="18"/>
      <c r="G35" s="18"/>
      <c r="H35" s="18"/>
      <c r="I35" s="65">
        <f>SUM(I10:I34)</f>
        <v>38.06290811528359</v>
      </c>
      <c r="J35" s="18"/>
      <c r="K35" s="20"/>
    </row>
    <row r="36" spans="1:11" ht="15.75" customHeight="1">
      <c r="A36" s="85" t="s">
        <v>23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s="6" customFormat="1" ht="15">
      <c r="A37" s="37">
        <v>6</v>
      </c>
      <c r="B37" s="9">
        <f>11.9+80+3.2</f>
        <v>95.10000000000001</v>
      </c>
      <c r="C37" s="9">
        <v>0</v>
      </c>
      <c r="D37" s="9">
        <v>100</v>
      </c>
      <c r="E37" s="9">
        <v>2</v>
      </c>
      <c r="F37" s="9" t="s">
        <v>18</v>
      </c>
      <c r="G37" s="9">
        <v>65</v>
      </c>
      <c r="H37" s="9">
        <v>55</v>
      </c>
      <c r="I37" s="5">
        <f aca="true" t="shared" si="2" ref="I37:I46">(PI()*((D37/1000)^2)/4)*B37*E37</f>
        <v>1.493827306781947</v>
      </c>
      <c r="J37" s="9" t="s">
        <v>19</v>
      </c>
      <c r="K37" s="38">
        <v>1980</v>
      </c>
    </row>
    <row r="38" spans="1:11" s="6" customFormat="1" ht="15">
      <c r="A38" s="37">
        <v>3</v>
      </c>
      <c r="B38" s="9">
        <v>476.4</v>
      </c>
      <c r="C38" s="9">
        <v>0</v>
      </c>
      <c r="D38" s="9">
        <v>100</v>
      </c>
      <c r="E38" s="9">
        <v>2</v>
      </c>
      <c r="F38" s="9" t="s">
        <v>18</v>
      </c>
      <c r="G38" s="9">
        <v>65</v>
      </c>
      <c r="H38" s="9">
        <v>55</v>
      </c>
      <c r="I38" s="5">
        <f t="shared" si="2"/>
        <v>7.483273700850887</v>
      </c>
      <c r="J38" s="9" t="s">
        <v>19</v>
      </c>
      <c r="K38" s="38">
        <v>1991</v>
      </c>
    </row>
    <row r="39" spans="1:11" s="6" customFormat="1" ht="15">
      <c r="A39" s="37">
        <v>13</v>
      </c>
      <c r="B39" s="9">
        <v>60</v>
      </c>
      <c r="C39" s="9">
        <v>0</v>
      </c>
      <c r="D39" s="9" t="s">
        <v>42</v>
      </c>
      <c r="E39" s="9">
        <v>2</v>
      </c>
      <c r="F39" s="9" t="s">
        <v>32</v>
      </c>
      <c r="G39" s="9">
        <v>65</v>
      </c>
      <c r="H39" s="9">
        <v>55</v>
      </c>
      <c r="I39" s="5"/>
      <c r="J39" s="9" t="s">
        <v>33</v>
      </c>
      <c r="K39" s="38">
        <v>2016</v>
      </c>
    </row>
    <row r="40" spans="1:11" s="6" customFormat="1" ht="15">
      <c r="A40" s="37">
        <v>7</v>
      </c>
      <c r="B40" s="9">
        <v>17.4</v>
      </c>
      <c r="C40" s="9">
        <v>0</v>
      </c>
      <c r="D40" s="9">
        <v>50</v>
      </c>
      <c r="E40" s="9">
        <v>2</v>
      </c>
      <c r="F40" s="9" t="s">
        <v>18</v>
      </c>
      <c r="G40" s="9">
        <v>65</v>
      </c>
      <c r="H40" s="9">
        <v>55</v>
      </c>
      <c r="I40" s="5">
        <f t="shared" si="2"/>
        <v>0.068329640215578</v>
      </c>
      <c r="J40" s="9" t="s">
        <v>19</v>
      </c>
      <c r="K40" s="38">
        <v>1980</v>
      </c>
    </row>
    <row r="41" spans="1:11" s="6" customFormat="1" ht="15">
      <c r="A41" s="37">
        <v>4</v>
      </c>
      <c r="B41" s="9">
        <f>17+58+104.4+13.1+7.5+63+3+91.9+2</f>
        <v>359.9</v>
      </c>
      <c r="C41" s="9">
        <v>0</v>
      </c>
      <c r="D41" s="9">
        <v>50</v>
      </c>
      <c r="E41" s="9">
        <v>2</v>
      </c>
      <c r="F41" s="9" t="s">
        <v>18</v>
      </c>
      <c r="G41" s="9">
        <v>65</v>
      </c>
      <c r="H41" s="9">
        <v>55</v>
      </c>
      <c r="I41" s="5">
        <f t="shared" si="2"/>
        <v>1.4133239950337082</v>
      </c>
      <c r="J41" s="9" t="s">
        <v>19</v>
      </c>
      <c r="K41" s="38">
        <v>1991</v>
      </c>
    </row>
    <row r="42" spans="1:11" s="6" customFormat="1" ht="15">
      <c r="A42" s="37">
        <v>16</v>
      </c>
      <c r="B42" s="9">
        <v>19.4</v>
      </c>
      <c r="C42" s="9">
        <v>0</v>
      </c>
      <c r="D42" s="9">
        <v>50</v>
      </c>
      <c r="E42" s="9">
        <v>2</v>
      </c>
      <c r="F42" s="9" t="s">
        <v>18</v>
      </c>
      <c r="G42" s="9">
        <v>65</v>
      </c>
      <c r="H42" s="9">
        <v>55</v>
      </c>
      <c r="I42" s="5">
        <f>(PI()*((D42/1000)^2)/4)*B42*E42</f>
        <v>0.07618362184955249</v>
      </c>
      <c r="J42" s="9" t="s">
        <v>19</v>
      </c>
      <c r="K42" s="38">
        <v>1994</v>
      </c>
    </row>
    <row r="43" spans="1:11" s="6" customFormat="1" ht="15">
      <c r="A43" s="37">
        <v>17</v>
      </c>
      <c r="B43" s="9">
        <v>8.3</v>
      </c>
      <c r="C43" s="9">
        <v>0</v>
      </c>
      <c r="D43" s="9">
        <v>50</v>
      </c>
      <c r="E43" s="9">
        <v>2</v>
      </c>
      <c r="F43" s="9" t="s">
        <v>32</v>
      </c>
      <c r="G43" s="9">
        <v>65</v>
      </c>
      <c r="H43" s="9">
        <v>55</v>
      </c>
      <c r="I43" s="5">
        <f>(PI()*((D43/1000)^2)/4)*B43*E43</f>
        <v>0.03259402378099411</v>
      </c>
      <c r="J43" s="9" t="s">
        <v>19</v>
      </c>
      <c r="K43" s="38">
        <v>1994</v>
      </c>
    </row>
    <row r="44" spans="1:11" s="6" customFormat="1" ht="15">
      <c r="A44" s="37">
        <v>8</v>
      </c>
      <c r="B44" s="9">
        <f>55.3+26.4+34.7+22+11.7</f>
        <v>150.09999999999997</v>
      </c>
      <c r="C44" s="9">
        <v>0</v>
      </c>
      <c r="D44" s="9">
        <v>40</v>
      </c>
      <c r="E44" s="9">
        <v>2</v>
      </c>
      <c r="F44" s="9" t="s">
        <v>18</v>
      </c>
      <c r="G44" s="9">
        <v>65</v>
      </c>
      <c r="H44" s="9">
        <v>55</v>
      </c>
      <c r="I44" s="5">
        <f t="shared" si="2"/>
        <v>0.37724244584306227</v>
      </c>
      <c r="J44" s="9" t="s">
        <v>19</v>
      </c>
      <c r="K44" s="38">
        <v>1980</v>
      </c>
    </row>
    <row r="45" spans="1:11" s="6" customFormat="1" ht="15">
      <c r="A45" s="37">
        <v>18</v>
      </c>
      <c r="B45" s="9">
        <f>3.6+46.4</f>
        <v>50</v>
      </c>
      <c r="C45" s="9">
        <v>0</v>
      </c>
      <c r="D45" s="9" t="s">
        <v>45</v>
      </c>
      <c r="E45" s="9">
        <v>2</v>
      </c>
      <c r="F45" s="9" t="s">
        <v>32</v>
      </c>
      <c r="G45" s="9">
        <v>65</v>
      </c>
      <c r="H45" s="9">
        <v>55</v>
      </c>
      <c r="I45" s="5"/>
      <c r="J45" s="9" t="s">
        <v>33</v>
      </c>
      <c r="K45" s="38">
        <v>2018</v>
      </c>
    </row>
    <row r="46" spans="1:11" s="6" customFormat="1" ht="15">
      <c r="A46" s="37">
        <v>9</v>
      </c>
      <c r="B46" s="9">
        <f>31.3+6.5+25+4+7+59.7+9.6</f>
        <v>143.1</v>
      </c>
      <c r="C46" s="9">
        <v>0</v>
      </c>
      <c r="D46" s="9">
        <v>32</v>
      </c>
      <c r="E46" s="9">
        <v>2</v>
      </c>
      <c r="F46" s="9" t="s">
        <v>18</v>
      </c>
      <c r="G46" s="9">
        <v>65</v>
      </c>
      <c r="H46" s="9">
        <v>55</v>
      </c>
      <c r="I46" s="5">
        <f t="shared" si="2"/>
        <v>0.23017569726909407</v>
      </c>
      <c r="J46" s="9" t="s">
        <v>19</v>
      </c>
      <c r="K46" s="38">
        <v>1980</v>
      </c>
    </row>
    <row r="47" spans="1:11" s="6" customFormat="1" ht="15">
      <c r="A47" s="73">
        <v>14</v>
      </c>
      <c r="B47" s="9">
        <v>31.5</v>
      </c>
      <c r="C47" s="9">
        <v>0</v>
      </c>
      <c r="D47" s="9">
        <v>32</v>
      </c>
      <c r="E47" s="9">
        <v>2</v>
      </c>
      <c r="F47" s="9" t="s">
        <v>18</v>
      </c>
      <c r="G47" s="9">
        <v>65</v>
      </c>
      <c r="H47" s="9">
        <v>55</v>
      </c>
      <c r="I47" s="5"/>
      <c r="J47" s="9" t="s">
        <v>31</v>
      </c>
      <c r="K47" s="38">
        <v>2017</v>
      </c>
    </row>
    <row r="48" spans="1:11" s="6" customFormat="1" ht="15">
      <c r="A48" s="37">
        <v>19</v>
      </c>
      <c r="B48" s="9">
        <v>30</v>
      </c>
      <c r="C48" s="9">
        <v>0</v>
      </c>
      <c r="D48" s="9" t="s">
        <v>49</v>
      </c>
      <c r="E48" s="9">
        <v>2</v>
      </c>
      <c r="F48" s="9" t="s">
        <v>18</v>
      </c>
      <c r="G48" s="9">
        <v>65</v>
      </c>
      <c r="H48" s="9">
        <v>55</v>
      </c>
      <c r="I48" s="5"/>
      <c r="J48" s="9" t="s">
        <v>33</v>
      </c>
      <c r="K48" s="38">
        <v>2018</v>
      </c>
    </row>
    <row r="49" spans="1:11" s="6" customFormat="1" ht="15">
      <c r="A49" s="73">
        <v>1</v>
      </c>
      <c r="B49" s="9">
        <v>31</v>
      </c>
      <c r="C49" s="9">
        <v>0</v>
      </c>
      <c r="D49" s="9">
        <v>20</v>
      </c>
      <c r="E49" s="9">
        <v>2</v>
      </c>
      <c r="F49" s="9" t="s">
        <v>32</v>
      </c>
      <c r="G49" s="9">
        <v>65</v>
      </c>
      <c r="H49" s="9">
        <v>55</v>
      </c>
      <c r="I49" s="5">
        <f>(PI()*((D49/1000)^2)/4)*B49*E49</f>
        <v>0.019477874452256717</v>
      </c>
      <c r="J49" s="9" t="s">
        <v>19</v>
      </c>
      <c r="K49" s="76">
        <v>2011</v>
      </c>
    </row>
    <row r="50" spans="1:11" s="6" customFormat="1" ht="15.75">
      <c r="A50" s="114" t="s">
        <v>24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6"/>
    </row>
    <row r="51" spans="1:11" s="6" customFormat="1" ht="15">
      <c r="A51" s="37">
        <v>11</v>
      </c>
      <c r="B51" s="9">
        <v>84.5</v>
      </c>
      <c r="C51" s="9">
        <v>0</v>
      </c>
      <c r="D51" s="9">
        <v>100</v>
      </c>
      <c r="E51" s="9">
        <v>2</v>
      </c>
      <c r="F51" s="9" t="s">
        <v>21</v>
      </c>
      <c r="G51" s="9">
        <v>65</v>
      </c>
      <c r="H51" s="9">
        <v>55</v>
      </c>
      <c r="I51" s="5">
        <f>(PI()*((D51/1000)^2)/4)*B51*E51</f>
        <v>1.3273228961416876</v>
      </c>
      <c r="J51" s="9" t="s">
        <v>19</v>
      </c>
      <c r="K51" s="38">
        <v>1980</v>
      </c>
    </row>
    <row r="52" spans="1:11" s="6" customFormat="1" ht="15">
      <c r="A52" s="37">
        <v>2</v>
      </c>
      <c r="B52" s="9">
        <v>157.8</v>
      </c>
      <c r="C52" s="9">
        <v>0</v>
      </c>
      <c r="D52" s="9" t="s">
        <v>42</v>
      </c>
      <c r="E52" s="9">
        <v>2</v>
      </c>
      <c r="F52" s="9" t="s">
        <v>21</v>
      </c>
      <c r="G52" s="9">
        <v>65</v>
      </c>
      <c r="H52" s="9">
        <v>55</v>
      </c>
      <c r="I52" s="5" t="e">
        <f>(PI()*((D52/1000)^2)/4)*B52*E52</f>
        <v>#VALUE!</v>
      </c>
      <c r="J52" s="9" t="s">
        <v>19</v>
      </c>
      <c r="K52" s="38">
        <v>2006</v>
      </c>
    </row>
    <row r="53" spans="1:11" s="6" customFormat="1" ht="15">
      <c r="A53" s="37">
        <v>12</v>
      </c>
      <c r="B53" s="9">
        <f>208.1+12</f>
        <v>220.1</v>
      </c>
      <c r="C53" s="9">
        <v>0</v>
      </c>
      <c r="D53" s="9">
        <v>50</v>
      </c>
      <c r="E53" s="9">
        <v>2</v>
      </c>
      <c r="F53" s="9" t="s">
        <v>21</v>
      </c>
      <c r="G53" s="9">
        <v>65</v>
      </c>
      <c r="H53" s="9">
        <v>55</v>
      </c>
      <c r="I53" s="5">
        <f>(PI()*((D53/1000)^2)/4)*B53*E53</f>
        <v>0.8643306788188919</v>
      </c>
      <c r="J53" s="9" t="s">
        <v>19</v>
      </c>
      <c r="K53" s="38">
        <v>1980</v>
      </c>
    </row>
    <row r="54" spans="1:11" s="6" customFormat="1" ht="15">
      <c r="A54" s="37">
        <v>15</v>
      </c>
      <c r="B54" s="9">
        <v>22.5</v>
      </c>
      <c r="C54" s="9">
        <v>0</v>
      </c>
      <c r="D54" s="9" t="s">
        <v>47</v>
      </c>
      <c r="E54" s="9">
        <v>2</v>
      </c>
      <c r="F54" s="9" t="s">
        <v>21</v>
      </c>
      <c r="G54" s="9">
        <v>65</v>
      </c>
      <c r="H54" s="9">
        <v>55</v>
      </c>
      <c r="I54" s="5"/>
      <c r="J54" s="9" t="s">
        <v>31</v>
      </c>
      <c r="K54" s="38">
        <v>2017</v>
      </c>
    </row>
    <row r="55" spans="1:11" s="6" customFormat="1" ht="15">
      <c r="A55" s="37">
        <v>20</v>
      </c>
      <c r="B55" s="9">
        <v>70.4</v>
      </c>
      <c r="C55" s="9">
        <v>0</v>
      </c>
      <c r="D55" s="9" t="s">
        <v>49</v>
      </c>
      <c r="E55" s="9">
        <v>2</v>
      </c>
      <c r="F55" s="9" t="s">
        <v>21</v>
      </c>
      <c r="G55" s="9">
        <v>65</v>
      </c>
      <c r="H55" s="9">
        <v>55</v>
      </c>
      <c r="I55" s="5"/>
      <c r="J55" s="9" t="s">
        <v>33</v>
      </c>
      <c r="K55" s="38">
        <v>2018</v>
      </c>
    </row>
    <row r="56" spans="1:11" s="6" customFormat="1" ht="15">
      <c r="A56" s="41">
        <v>10</v>
      </c>
      <c r="B56" s="42">
        <f>24.5+23.1</f>
        <v>47.6</v>
      </c>
      <c r="C56" s="42">
        <v>0</v>
      </c>
      <c r="D56" s="42">
        <v>25</v>
      </c>
      <c r="E56" s="9">
        <v>2</v>
      </c>
      <c r="F56" s="9" t="s">
        <v>21</v>
      </c>
      <c r="G56" s="9">
        <v>65</v>
      </c>
      <c r="H56" s="9">
        <v>55</v>
      </c>
      <c r="I56" s="5">
        <f>(PI()*((D56/1000)^2)/4)*B56*E56</f>
        <v>0.04673119072214818</v>
      </c>
      <c r="J56" s="9" t="s">
        <v>19</v>
      </c>
      <c r="K56" s="38">
        <v>2010</v>
      </c>
    </row>
    <row r="57" spans="1:11" s="6" customFormat="1" ht="15.75" thickBot="1">
      <c r="A57" s="66"/>
      <c r="B57" s="67"/>
      <c r="C57" s="67"/>
      <c r="D57" s="67"/>
      <c r="E57" s="4"/>
      <c r="F57" s="4"/>
      <c r="G57" s="4"/>
      <c r="H57" s="4"/>
      <c r="I57" s="5"/>
      <c r="J57" s="4"/>
      <c r="K57" s="68"/>
    </row>
    <row r="58" spans="1:11" s="27" customFormat="1" ht="15" thickBot="1">
      <c r="A58" s="23" t="s">
        <v>22</v>
      </c>
      <c r="B58" s="24">
        <f>SUM(B37:B57)</f>
        <v>2075.1</v>
      </c>
      <c r="C58" s="24">
        <f>SUM(C37:C57)</f>
        <v>0</v>
      </c>
      <c r="D58" s="24"/>
      <c r="E58" s="24"/>
      <c r="F58" s="24"/>
      <c r="G58" s="24"/>
      <c r="H58" s="24"/>
      <c r="I58" s="25" t="e">
        <f>SUM(I37:I57)</f>
        <v>#VALUE!</v>
      </c>
      <c r="J58" s="24"/>
      <c r="K58" s="26"/>
    </row>
    <row r="59" spans="1:11" ht="12.75">
      <c r="A59" s="29"/>
      <c r="B59" s="28">
        <f>B35+B58</f>
        <v>4310.9</v>
      </c>
      <c r="C59" s="28"/>
      <c r="D59" s="28"/>
      <c r="E59" s="28"/>
      <c r="F59" s="28"/>
      <c r="G59" s="28"/>
      <c r="H59" s="28"/>
      <c r="I59" s="28"/>
      <c r="J59" s="29"/>
      <c r="K59" s="29"/>
    </row>
    <row r="60" spans="1:11" s="30" customFormat="1" ht="19.5" customHeight="1">
      <c r="A60" s="88" t="s">
        <v>62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55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19" s="30" customFormat="1" ht="26.25" customHeight="1">
      <c r="A62" s="89" t="s">
        <v>26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32"/>
      <c r="M62" s="32"/>
      <c r="N62" s="32"/>
      <c r="O62" s="32"/>
      <c r="P62" s="32"/>
      <c r="Q62" s="32"/>
      <c r="R62" s="32"/>
      <c r="S62" s="32"/>
    </row>
    <row r="63" spans="1:11" s="30" customFormat="1" ht="15.75">
      <c r="A63" s="33"/>
      <c r="J63" s="33"/>
      <c r="K63" s="33"/>
    </row>
    <row r="64" spans="1:11" s="30" customFormat="1" ht="15.75">
      <c r="A64" s="89" t="s">
        <v>54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</row>
  </sheetData>
  <sheetProtection/>
  <mergeCells count="24">
    <mergeCell ref="J1:K1"/>
    <mergeCell ref="A2:K2"/>
    <mergeCell ref="A3:K3"/>
    <mergeCell ref="A5:F5"/>
    <mergeCell ref="G5:K5"/>
    <mergeCell ref="A6:A8"/>
    <mergeCell ref="B6:B8"/>
    <mergeCell ref="C6:C8"/>
    <mergeCell ref="D6:D8"/>
    <mergeCell ref="E6:E8"/>
    <mergeCell ref="F6:F8"/>
    <mergeCell ref="G6:H6"/>
    <mergeCell ref="I6:I8"/>
    <mergeCell ref="J6:J8"/>
    <mergeCell ref="K6:K8"/>
    <mergeCell ref="G7:G8"/>
    <mergeCell ref="H7:H8"/>
    <mergeCell ref="A9:K9"/>
    <mergeCell ref="A26:K26"/>
    <mergeCell ref="A36:K36"/>
    <mergeCell ref="A50:K50"/>
    <mergeCell ref="A60:K61"/>
    <mergeCell ref="A62:K62"/>
    <mergeCell ref="A64:K64"/>
  </mergeCells>
  <printOptions horizontalCentered="1"/>
  <pageMargins left="0.5905511811023623" right="0.35433070866141736" top="0.3937007874015748" bottom="0.4330708661417323" header="0.1968503937007874" footer="0.2755905511811024"/>
  <pageSetup horizontalDpi="600" verticalDpi="600" orientation="landscape" paperSize="9" scale="79" r:id="rId4"/>
  <headerFooter alignWithMargins="0">
    <oddFooter>&amp;CСтраница &amp;P из &amp;N</oddFooter>
  </headerFooter>
  <rowBreaks count="1" manualBreakCount="1">
    <brk id="35" max="10" man="1"/>
  </rowBreaks>
  <legacyDrawing r:id="rId3"/>
  <oleObjects>
    <oleObject progId="Equation.3" shapeId="1806516" r:id="rId1"/>
    <oleObject progId="Equation.3" shapeId="180651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F34"/>
  <sheetViews>
    <sheetView view="pageBreakPreview" zoomScale="75" zoomScaleSheetLayoutView="75" zoomScalePageLayoutView="0" workbookViewId="0" topLeftCell="A4">
      <selection activeCell="P17" sqref="P17"/>
    </sheetView>
  </sheetViews>
  <sheetFormatPr defaultColWidth="9.00390625" defaultRowHeight="12.75"/>
  <cols>
    <col min="1" max="1" width="16.00390625" style="0" customWidth="1"/>
    <col min="2" max="2" width="15.875" style="0" customWidth="1"/>
    <col min="3" max="3" width="15.125" style="0" customWidth="1"/>
    <col min="4" max="4" width="11.625" style="0" customWidth="1"/>
    <col min="5" max="5" width="14.00390625" style="0" customWidth="1"/>
    <col min="6" max="6" width="15.125" style="0" customWidth="1"/>
    <col min="7" max="7" width="10.875" style="0" customWidth="1"/>
    <col min="8" max="8" width="10.625" style="0" customWidth="1"/>
    <col min="9" max="9" width="14.50390625" style="0" customWidth="1"/>
    <col min="10" max="10" width="20.00390625" style="0" customWidth="1"/>
  </cols>
  <sheetData>
    <row r="1" spans="9:10" ht="15.75">
      <c r="I1" s="112" t="s">
        <v>0</v>
      </c>
      <c r="J1" s="112"/>
    </row>
    <row r="2" spans="1:10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9.5" customHeight="1">
      <c r="A3" s="100" t="s">
        <v>63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 thickBot="1">
      <c r="A5" s="101" t="s">
        <v>64</v>
      </c>
      <c r="B5" s="102"/>
      <c r="C5" s="102"/>
      <c r="D5" s="102"/>
      <c r="E5" s="102"/>
      <c r="F5" s="102"/>
      <c r="G5" s="102" t="s">
        <v>4</v>
      </c>
      <c r="H5" s="102"/>
      <c r="I5" s="102"/>
      <c r="J5" s="120"/>
    </row>
    <row r="6" ht="13.5" thickBot="1"/>
    <row r="7" spans="1:10" ht="51" customHeight="1">
      <c r="A7" s="105" t="s">
        <v>5</v>
      </c>
      <c r="B7" s="108" t="s">
        <v>6</v>
      </c>
      <c r="C7" s="90" t="s">
        <v>7</v>
      </c>
      <c r="D7" s="108" t="s">
        <v>8</v>
      </c>
      <c r="E7" s="90" t="s">
        <v>9</v>
      </c>
      <c r="F7" s="90" t="s">
        <v>10</v>
      </c>
      <c r="G7" s="108" t="s">
        <v>11</v>
      </c>
      <c r="H7" s="111"/>
      <c r="I7" s="90" t="s">
        <v>13</v>
      </c>
      <c r="J7" s="93" t="s">
        <v>14</v>
      </c>
    </row>
    <row r="8" spans="1:10" ht="38.25" customHeight="1">
      <c r="A8" s="106"/>
      <c r="B8" s="109"/>
      <c r="C8" s="91"/>
      <c r="D8" s="109"/>
      <c r="E8" s="91"/>
      <c r="F8" s="91"/>
      <c r="G8" s="96" t="s">
        <v>15</v>
      </c>
      <c r="H8" s="96" t="s">
        <v>16</v>
      </c>
      <c r="I8" s="91"/>
      <c r="J8" s="94"/>
    </row>
    <row r="9" spans="1:10" ht="13.5" thickBot="1">
      <c r="A9" s="107"/>
      <c r="B9" s="110"/>
      <c r="C9" s="92"/>
      <c r="D9" s="110"/>
      <c r="E9" s="92"/>
      <c r="F9" s="92"/>
      <c r="G9" s="92"/>
      <c r="H9" s="92"/>
      <c r="I9" s="92"/>
      <c r="J9" s="95"/>
    </row>
    <row r="10" spans="1:10" ht="15.75" customHeight="1">
      <c r="A10" s="97" t="s">
        <v>17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s="6" customFormat="1" ht="15">
      <c r="A11" s="3"/>
      <c r="B11" s="4"/>
      <c r="C11" s="4"/>
      <c r="D11" s="4"/>
      <c r="E11" s="4"/>
      <c r="F11" s="4"/>
      <c r="G11" s="4"/>
      <c r="H11" s="4"/>
      <c r="I11" s="4"/>
      <c r="J11" s="22"/>
    </row>
    <row r="12" spans="1:10" s="6" customFormat="1" ht="15.75">
      <c r="A12" s="85" t="s">
        <v>20</v>
      </c>
      <c r="B12" s="86"/>
      <c r="C12" s="86"/>
      <c r="D12" s="86"/>
      <c r="E12" s="86"/>
      <c r="F12" s="86"/>
      <c r="G12" s="86"/>
      <c r="H12" s="86"/>
      <c r="I12" s="86"/>
      <c r="J12" s="87"/>
    </row>
    <row r="13" spans="1:10" s="6" customFormat="1" ht="15">
      <c r="A13" s="3">
        <v>1</v>
      </c>
      <c r="B13" s="4">
        <v>46</v>
      </c>
      <c r="C13" s="4">
        <v>0</v>
      </c>
      <c r="D13" s="4">
        <v>65</v>
      </c>
      <c r="E13" s="4">
        <v>2</v>
      </c>
      <c r="F13" s="4" t="s">
        <v>21</v>
      </c>
      <c r="G13" s="4">
        <v>55.3</v>
      </c>
      <c r="H13" s="4">
        <v>45.3</v>
      </c>
      <c r="I13" s="4" t="s">
        <v>29</v>
      </c>
      <c r="J13" s="121">
        <v>2007</v>
      </c>
    </row>
    <row r="14" spans="1:10" s="6" customFormat="1" ht="15">
      <c r="A14" s="66">
        <v>2</v>
      </c>
      <c r="B14" s="67">
        <v>72.5</v>
      </c>
      <c r="C14" s="67">
        <v>0</v>
      </c>
      <c r="D14" s="67">
        <v>50</v>
      </c>
      <c r="E14" s="67">
        <v>2</v>
      </c>
      <c r="F14" s="4" t="s">
        <v>21</v>
      </c>
      <c r="G14" s="4">
        <v>55.3</v>
      </c>
      <c r="H14" s="4">
        <v>45.3</v>
      </c>
      <c r="I14" s="4" t="s">
        <v>29</v>
      </c>
      <c r="J14" s="122"/>
    </row>
    <row r="15" spans="1:10" s="6" customFormat="1" ht="15">
      <c r="A15" s="66">
        <v>3</v>
      </c>
      <c r="B15" s="67">
        <v>12.5</v>
      </c>
      <c r="C15" s="67">
        <v>0</v>
      </c>
      <c r="D15" s="67">
        <v>32</v>
      </c>
      <c r="E15" s="67">
        <v>2</v>
      </c>
      <c r="F15" s="4" t="s">
        <v>21</v>
      </c>
      <c r="G15" s="4">
        <v>55.3</v>
      </c>
      <c r="H15" s="4">
        <v>45.3</v>
      </c>
      <c r="I15" s="4" t="s">
        <v>29</v>
      </c>
      <c r="J15" s="123"/>
    </row>
    <row r="16" spans="1:10" s="6" customFormat="1" ht="15.75" thickBot="1">
      <c r="A16" s="66"/>
      <c r="B16" s="67"/>
      <c r="C16" s="67"/>
      <c r="D16" s="67"/>
      <c r="E16" s="67"/>
      <c r="F16" s="67"/>
      <c r="G16" s="67"/>
      <c r="H16" s="67"/>
      <c r="I16" s="67"/>
      <c r="J16" s="68"/>
    </row>
    <row r="17" spans="1:10" s="21" customFormat="1" ht="15" thickBot="1">
      <c r="A17" s="17" t="s">
        <v>22</v>
      </c>
      <c r="B17" s="18">
        <f>SUM(B11:B16)</f>
        <v>131</v>
      </c>
      <c r="C17" s="18"/>
      <c r="D17" s="18"/>
      <c r="E17" s="18"/>
      <c r="F17" s="18"/>
      <c r="G17" s="18"/>
      <c r="H17" s="18"/>
      <c r="I17" s="18"/>
      <c r="J17" s="20"/>
    </row>
    <row r="18" spans="1:10" ht="15.75" customHeight="1">
      <c r="A18" s="85" t="s">
        <v>23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s="6" customFormat="1" ht="15">
      <c r="A19" s="3"/>
      <c r="B19" s="4"/>
      <c r="C19" s="4"/>
      <c r="D19" s="4"/>
      <c r="E19" s="4"/>
      <c r="F19" s="4"/>
      <c r="G19" s="4"/>
      <c r="H19" s="4"/>
      <c r="I19" s="4"/>
      <c r="J19" s="22"/>
    </row>
    <row r="20" spans="1:10" s="6" customFormat="1" ht="15.75">
      <c r="A20" s="85" t="s">
        <v>24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s="6" customFormat="1" ht="15">
      <c r="A21" s="3">
        <v>1</v>
      </c>
      <c r="B21" s="4">
        <v>46</v>
      </c>
      <c r="C21" s="4">
        <v>0</v>
      </c>
      <c r="D21" s="4" t="s">
        <v>46</v>
      </c>
      <c r="E21" s="4">
        <v>2</v>
      </c>
      <c r="F21" s="4" t="s">
        <v>21</v>
      </c>
      <c r="G21" s="4">
        <v>65</v>
      </c>
      <c r="H21" s="4">
        <v>55</v>
      </c>
      <c r="I21" s="4" t="s">
        <v>29</v>
      </c>
      <c r="J21" s="121">
        <v>2007</v>
      </c>
    </row>
    <row r="22" spans="1:10" s="6" customFormat="1" ht="15">
      <c r="A22" s="66">
        <v>2</v>
      </c>
      <c r="B22" s="67">
        <v>72.5</v>
      </c>
      <c r="C22" s="67">
        <v>0</v>
      </c>
      <c r="D22" s="67" t="s">
        <v>47</v>
      </c>
      <c r="E22" s="67">
        <v>2</v>
      </c>
      <c r="F22" s="4" t="s">
        <v>21</v>
      </c>
      <c r="G22" s="4">
        <v>65</v>
      </c>
      <c r="H22" s="4">
        <v>55</v>
      </c>
      <c r="I22" s="4" t="s">
        <v>29</v>
      </c>
      <c r="J22" s="122"/>
    </row>
    <row r="23" spans="1:10" s="6" customFormat="1" ht="15">
      <c r="A23" s="66">
        <v>3</v>
      </c>
      <c r="B23" s="67">
        <v>12.5</v>
      </c>
      <c r="C23" s="67">
        <v>0</v>
      </c>
      <c r="D23" s="67" t="s">
        <v>49</v>
      </c>
      <c r="E23" s="67">
        <v>2</v>
      </c>
      <c r="F23" s="4" t="s">
        <v>21</v>
      </c>
      <c r="G23" s="4">
        <v>65</v>
      </c>
      <c r="H23" s="4">
        <v>55</v>
      </c>
      <c r="I23" s="4" t="s">
        <v>29</v>
      </c>
      <c r="J23" s="122"/>
    </row>
    <row r="24" spans="1:10" s="6" customFormat="1" ht="15.75" thickBot="1">
      <c r="A24" s="66"/>
      <c r="B24" s="67"/>
      <c r="C24" s="67"/>
      <c r="D24" s="67"/>
      <c r="E24" s="67"/>
      <c r="F24" s="67"/>
      <c r="G24" s="67"/>
      <c r="H24" s="67"/>
      <c r="I24" s="67"/>
      <c r="J24" s="68"/>
    </row>
    <row r="25" spans="1:10" s="27" customFormat="1" ht="15" thickBot="1">
      <c r="A25" s="23" t="s">
        <v>22</v>
      </c>
      <c r="B25" s="24">
        <f>SUM(B19:B24)</f>
        <v>131</v>
      </c>
      <c r="C25" s="24"/>
      <c r="D25" s="24"/>
      <c r="E25" s="24"/>
      <c r="F25" s="24"/>
      <c r="G25" s="24"/>
      <c r="H25" s="24"/>
      <c r="I25" s="24"/>
      <c r="J25" s="26"/>
    </row>
    <row r="26" spans="1:10" ht="12.7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30" customFormat="1" ht="19.5" customHeight="1">
      <c r="A27" s="88" t="s">
        <v>53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58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22" s="30" customFormat="1" ht="26.25" customHeight="1">
      <c r="A29" s="89" t="s">
        <v>26</v>
      </c>
      <c r="B29" s="89"/>
      <c r="C29" s="89"/>
      <c r="D29" s="89"/>
      <c r="E29" s="89"/>
      <c r="F29" s="89"/>
      <c r="G29" s="89"/>
      <c r="H29" s="89"/>
      <c r="I29" s="89"/>
      <c r="J29" s="89"/>
      <c r="K29" s="77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10" s="30" customFormat="1" ht="15.7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s="30" customFormat="1" ht="15.75" customHeight="1">
      <c r="A31" s="117" t="s">
        <v>54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.75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4" ht="12.75">
      <c r="A33" s="118" t="s">
        <v>57</v>
      </c>
      <c r="B33" s="69" t="s">
        <v>58</v>
      </c>
      <c r="C33" s="69" t="s">
        <v>59</v>
      </c>
      <c r="D33" s="69" t="s">
        <v>60</v>
      </c>
    </row>
    <row r="34" spans="1:4" ht="12.75">
      <c r="A34" s="119"/>
      <c r="B34" s="70">
        <f>(B13*D13+B14*D14+B15*D15)/B17</f>
        <v>53.54961832061068</v>
      </c>
      <c r="C34" s="71" t="e">
        <f>(B21*D21+B22*D22+B23*D23+#REF!*#REF!)/B25</f>
        <v>#VALUE!</v>
      </c>
      <c r="D34" s="70" t="e">
        <f>(B34*B17+B25*C34)/B17/2</f>
        <v>#VALUE!</v>
      </c>
    </row>
  </sheetData>
  <sheetProtection/>
  <mergeCells count="26">
    <mergeCell ref="I1:J1"/>
    <mergeCell ref="A2:J2"/>
    <mergeCell ref="A3:J3"/>
    <mergeCell ref="A5:F5"/>
    <mergeCell ref="G5:J5"/>
    <mergeCell ref="A7:A9"/>
    <mergeCell ref="B7:B9"/>
    <mergeCell ref="C7:C9"/>
    <mergeCell ref="D7:D9"/>
    <mergeCell ref="E7:E9"/>
    <mergeCell ref="F7:F9"/>
    <mergeCell ref="G7:H7"/>
    <mergeCell ref="I7:I9"/>
    <mergeCell ref="J7:J9"/>
    <mergeCell ref="G8:G9"/>
    <mergeCell ref="H8:H9"/>
    <mergeCell ref="A10:J10"/>
    <mergeCell ref="A12:J12"/>
    <mergeCell ref="A31:J31"/>
    <mergeCell ref="A33:A34"/>
    <mergeCell ref="J13:J15"/>
    <mergeCell ref="A18:J18"/>
    <mergeCell ref="A20:J20"/>
    <mergeCell ref="J21:J23"/>
    <mergeCell ref="A27:J28"/>
    <mergeCell ref="A29:J29"/>
  </mergeCells>
  <printOptions horizontalCentered="1"/>
  <pageMargins left="0.5905511811023623" right="0.35433070866141736" top="0.3937007874015748" bottom="0.4330708661417323" header="0.1968503937007874" footer="0.2755905511811024"/>
  <pageSetup horizontalDpi="600" verticalDpi="600" orientation="landscape" paperSize="9" scale="82" r:id="rId5"/>
  <headerFooter alignWithMargins="0">
    <oddFooter>&amp;CСтраница &amp;P из &amp;N</oddFooter>
  </headerFooter>
  <legacyDrawing r:id="rId4"/>
  <oleObjects>
    <oleObject progId="Equation.3" shapeId="1814476" r:id="rId2"/>
    <oleObject progId="Equation.3" shapeId="181447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G22"/>
  <sheetViews>
    <sheetView tabSelected="1" view="pageBreakPreview" zoomScale="75" zoomScaleSheetLayoutView="75" zoomScalePageLayoutView="0" workbookViewId="0" topLeftCell="A1">
      <selection activeCell="V9" sqref="V9"/>
    </sheetView>
  </sheetViews>
  <sheetFormatPr defaultColWidth="9.00390625" defaultRowHeight="12.75"/>
  <cols>
    <col min="1" max="1" width="16.00390625" style="0" customWidth="1"/>
    <col min="2" max="2" width="15.875" style="0" customWidth="1"/>
    <col min="3" max="3" width="15.125" style="0" customWidth="1"/>
    <col min="4" max="4" width="11.625" style="0" customWidth="1"/>
    <col min="5" max="5" width="14.00390625" style="0" customWidth="1"/>
    <col min="6" max="6" width="15.125" style="0" customWidth="1"/>
    <col min="7" max="7" width="10.875" style="0" customWidth="1"/>
    <col min="8" max="8" width="10.625" style="0" customWidth="1"/>
    <col min="9" max="9" width="11.125" style="0" customWidth="1"/>
    <col min="10" max="10" width="14.50390625" style="0" customWidth="1"/>
    <col min="11" max="11" width="20.00390625" style="0" customWidth="1"/>
  </cols>
  <sheetData>
    <row r="1" spans="10:11" ht="15.75">
      <c r="J1" s="112" t="s">
        <v>0</v>
      </c>
      <c r="K1" s="112"/>
    </row>
    <row r="2" spans="1:11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00" t="s">
        <v>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Bot="1">
      <c r="A5" s="101" t="s">
        <v>3</v>
      </c>
      <c r="B5" s="102"/>
      <c r="C5" s="102"/>
      <c r="D5" s="102"/>
      <c r="E5" s="102"/>
      <c r="F5" s="102"/>
      <c r="G5" s="103" t="s">
        <v>56</v>
      </c>
      <c r="H5" s="103"/>
      <c r="I5" s="103"/>
      <c r="J5" s="103"/>
      <c r="K5" s="104"/>
    </row>
    <row r="6" ht="13.5" thickBot="1"/>
    <row r="7" spans="1:11" ht="51" customHeight="1">
      <c r="A7" s="105" t="s">
        <v>5</v>
      </c>
      <c r="B7" s="108" t="s">
        <v>6</v>
      </c>
      <c r="C7" s="90" t="s">
        <v>7</v>
      </c>
      <c r="D7" s="108" t="s">
        <v>8</v>
      </c>
      <c r="E7" s="90" t="s">
        <v>9</v>
      </c>
      <c r="F7" s="90" t="s">
        <v>10</v>
      </c>
      <c r="G7" s="108" t="s">
        <v>11</v>
      </c>
      <c r="H7" s="111"/>
      <c r="I7" s="90" t="s">
        <v>12</v>
      </c>
      <c r="J7" s="90" t="s">
        <v>65</v>
      </c>
      <c r="K7" s="93" t="s">
        <v>66</v>
      </c>
    </row>
    <row r="8" spans="1:11" ht="38.25" customHeight="1">
      <c r="A8" s="106"/>
      <c r="B8" s="109"/>
      <c r="C8" s="91"/>
      <c r="D8" s="109"/>
      <c r="E8" s="91"/>
      <c r="F8" s="91"/>
      <c r="G8" s="96" t="s">
        <v>15</v>
      </c>
      <c r="H8" s="96" t="s">
        <v>16</v>
      </c>
      <c r="I8" s="91"/>
      <c r="J8" s="91"/>
      <c r="K8" s="94"/>
    </row>
    <row r="9" spans="1:11" ht="13.5" thickBot="1">
      <c r="A9" s="107"/>
      <c r="B9" s="110"/>
      <c r="C9" s="92"/>
      <c r="D9" s="110"/>
      <c r="E9" s="92"/>
      <c r="F9" s="92"/>
      <c r="G9" s="92"/>
      <c r="H9" s="92"/>
      <c r="I9" s="92"/>
      <c r="J9" s="92"/>
      <c r="K9" s="95"/>
    </row>
    <row r="10" spans="1:11" ht="15.75" customHeight="1">
      <c r="A10" s="97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s="6" customFormat="1" ht="15">
      <c r="A11" s="80"/>
      <c r="B11" s="4">
        <v>86.8</v>
      </c>
      <c r="C11" s="4">
        <v>0</v>
      </c>
      <c r="D11" s="4">
        <v>50</v>
      </c>
      <c r="E11" s="4">
        <v>2</v>
      </c>
      <c r="F11" s="81" t="s">
        <v>21</v>
      </c>
      <c r="G11" s="4">
        <v>55.3</v>
      </c>
      <c r="H11" s="4">
        <v>45.3</v>
      </c>
      <c r="I11" s="5">
        <f>(PI()*((D11/1000)^2)/4)*B11*E11</f>
        <v>0.34086280291449256</v>
      </c>
      <c r="J11" s="81"/>
      <c r="K11" s="82"/>
    </row>
    <row r="12" spans="1:11" s="6" customFormat="1" ht="15.75" thickBot="1">
      <c r="A12" s="83"/>
      <c r="B12" s="75"/>
      <c r="C12" s="75"/>
      <c r="D12" s="75"/>
      <c r="E12" s="75"/>
      <c r="F12" s="75"/>
      <c r="G12" s="75"/>
      <c r="H12" s="75"/>
      <c r="I12" s="75"/>
      <c r="J12" s="75"/>
      <c r="K12" s="84"/>
    </row>
    <row r="13" spans="1:11" s="21" customFormat="1" ht="15" thickBot="1">
      <c r="A13" s="17" t="s">
        <v>22</v>
      </c>
      <c r="B13" s="18">
        <f>SUM(B11:B12)</f>
        <v>86.8</v>
      </c>
      <c r="C13" s="18"/>
      <c r="D13" s="18"/>
      <c r="E13" s="18"/>
      <c r="F13" s="18"/>
      <c r="G13" s="18"/>
      <c r="H13" s="18"/>
      <c r="I13" s="65">
        <f>SUM(I11:I12)</f>
        <v>0.34086280291449256</v>
      </c>
      <c r="J13" s="18"/>
      <c r="K13" s="20"/>
    </row>
    <row r="14" spans="1:11" ht="15.75" customHeight="1">
      <c r="A14" s="85" t="s">
        <v>68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s="6" customFormat="1" ht="15.75" thickBot="1">
      <c r="A15" s="3"/>
      <c r="B15" s="4"/>
      <c r="C15" s="4"/>
      <c r="D15" s="4"/>
      <c r="E15" s="4"/>
      <c r="F15" s="4"/>
      <c r="G15" s="4"/>
      <c r="H15" s="4"/>
      <c r="I15" s="5"/>
      <c r="J15" s="4"/>
      <c r="K15" s="22"/>
    </row>
    <row r="16" spans="1:11" s="27" customFormat="1" ht="15" thickBot="1">
      <c r="A16" s="23" t="s">
        <v>22</v>
      </c>
      <c r="B16" s="24">
        <f>SUM(B15:B15)</f>
        <v>0</v>
      </c>
      <c r="C16" s="24"/>
      <c r="D16" s="24"/>
      <c r="E16" s="24"/>
      <c r="F16" s="24"/>
      <c r="G16" s="24"/>
      <c r="H16" s="24"/>
      <c r="I16" s="25">
        <f>SUM(I15:I15)</f>
        <v>0</v>
      </c>
      <c r="J16" s="24"/>
      <c r="K16" s="26"/>
    </row>
    <row r="17" spans="1:1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30" customFormat="1" ht="19.5" customHeight="1">
      <c r="A18" s="88" t="s">
        <v>69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5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23" s="30" customFormat="1" ht="26.25" customHeight="1">
      <c r="A20" s="89" t="s">
        <v>26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="30" customFormat="1" ht="15.75"/>
    <row r="22" spans="1:11" s="30" customFormat="1" ht="15.75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</sheetData>
  <sheetProtection/>
  <mergeCells count="22">
    <mergeCell ref="D7:D9"/>
    <mergeCell ref="E7:E9"/>
    <mergeCell ref="G8:G9"/>
    <mergeCell ref="H8:H9"/>
    <mergeCell ref="J1:K1"/>
    <mergeCell ref="A2:K2"/>
    <mergeCell ref="A3:K3"/>
    <mergeCell ref="A5:F5"/>
    <mergeCell ref="G5:K5"/>
    <mergeCell ref="A7:A9"/>
    <mergeCell ref="B7:B9"/>
    <mergeCell ref="C7:C9"/>
    <mergeCell ref="A10:K10"/>
    <mergeCell ref="A14:K14"/>
    <mergeCell ref="A18:K19"/>
    <mergeCell ref="A20:K20"/>
    <mergeCell ref="A22:K22"/>
    <mergeCell ref="F7:F9"/>
    <mergeCell ref="G7:H7"/>
    <mergeCell ref="I7:I9"/>
    <mergeCell ref="J7:J9"/>
    <mergeCell ref="K7:K9"/>
  </mergeCells>
  <printOptions horizontalCentered="1"/>
  <pageMargins left="0.5905511811023623" right="0.35433070866141736" top="0.3937007874015748" bottom="0.4330708661417323" header="0.1968503937007874" footer="0.2755905511811024"/>
  <pageSetup horizontalDpi="600" verticalDpi="600" orientation="landscape" paperSize="9" scale="81" r:id="rId5"/>
  <headerFooter alignWithMargins="0">
    <oddFooter>&amp;CСтраница &amp;P из &amp;N</oddFooter>
  </headerFooter>
  <legacyDrawing r:id="rId4"/>
  <oleObjects>
    <oleObject progId="Equation.3" shapeId="1818085" r:id="rId2"/>
    <oleObject progId="Equation.3" shapeId="18180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Грязнов Е.С.</dc:creator>
  <cp:keywords/>
  <dc:description/>
  <cp:lastModifiedBy>Грязнов Е.С.</cp:lastModifiedBy>
  <dcterms:created xsi:type="dcterms:W3CDTF">2020-01-21T08:59:20Z</dcterms:created>
  <dcterms:modified xsi:type="dcterms:W3CDTF">2020-01-21T09:49:41Z</dcterms:modified>
  <cp:category/>
  <cp:version/>
  <cp:contentType/>
  <cp:contentStatus/>
</cp:coreProperties>
</file>